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imatelab/Library/Mobile Documents/com~apple~CloudDocs/ClimateLab/Proj_Kameroen/tech spec agro/"/>
    </mc:Choice>
  </mc:AlternateContent>
  <xr:revisionPtr revIDLastSave="4" documentId="13_ncr:1_{910F202F-A3FF-4F4A-9FDC-8A2CB74CFC3D}" xr6:coauthVersionLast="47" xr6:coauthVersionMax="47" xr10:uidLastSave="{E61F6727-F52D-4161-BF89-46C2023C2943}"/>
  <bookViews>
    <workbookView xWindow="0" yWindow="500" windowWidth="38400" windowHeight="21100" firstSheet="3" activeTab="3" xr2:uid="{0AF538D0-22CE-2C45-9C10-6D16B75F9BD6}"/>
  </bookViews>
  <sheets>
    <sheet name="Growthfiles_clean" sheetId="9" r:id="rId1"/>
    <sheet name="Calculations" sheetId="12" r:id="rId2"/>
    <sheet name="HomeOrchard" sheetId="6" r:id="rId3"/>
    <sheet name="CommunalGarden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7" i="6" l="1"/>
  <c r="BE10" i="6"/>
  <c r="AY13" i="7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4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4" i="7"/>
  <c r="AF5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4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5" i="7"/>
  <c r="U6" i="7"/>
  <c r="U7" i="7"/>
  <c r="U8" i="7"/>
  <c r="U9" i="7"/>
  <c r="U10" i="7"/>
  <c r="U11" i="7"/>
  <c r="V11" i="7" s="1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N33" i="7" s="1"/>
  <c r="M34" i="7"/>
  <c r="M5" i="7"/>
  <c r="E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4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F27" i="7" s="1"/>
  <c r="E28" i="7"/>
  <c r="E29" i="7"/>
  <c r="E30" i="7"/>
  <c r="E31" i="7"/>
  <c r="E32" i="7"/>
  <c r="E33" i="7"/>
  <c r="E34" i="7"/>
  <c r="BI12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8" i="6"/>
  <c r="C15" i="9"/>
  <c r="AR8" i="6"/>
  <c r="AR9" i="6"/>
  <c r="AR10" i="6"/>
  <c r="AS10" i="6" s="1"/>
  <c r="AR11" i="6"/>
  <c r="AS11" i="6" s="1"/>
  <c r="AR12" i="6"/>
  <c r="AR13" i="6"/>
  <c r="AR14" i="6"/>
  <c r="AR15" i="6"/>
  <c r="AS15" i="6" s="1"/>
  <c r="AR16" i="6"/>
  <c r="AR17" i="6"/>
  <c r="AR18" i="6"/>
  <c r="AR19" i="6"/>
  <c r="AR20" i="6"/>
  <c r="AR21" i="6"/>
  <c r="AR22" i="6"/>
  <c r="AR23" i="6"/>
  <c r="AS23" i="6" s="1"/>
  <c r="AR24" i="6"/>
  <c r="AR25" i="6"/>
  <c r="AR26" i="6"/>
  <c r="AS26" i="6" s="1"/>
  <c r="AR27" i="6"/>
  <c r="AR28" i="6"/>
  <c r="AS28" i="6" s="1"/>
  <c r="AR29" i="6"/>
  <c r="AS29" i="6" s="1"/>
  <c r="AR30" i="6"/>
  <c r="AS30" i="6" s="1"/>
  <c r="AR31" i="6"/>
  <c r="AR32" i="6"/>
  <c r="AR33" i="6"/>
  <c r="AR34" i="6"/>
  <c r="AS34" i="6" s="1"/>
  <c r="AR35" i="6"/>
  <c r="AR36" i="6"/>
  <c r="AR37" i="6"/>
  <c r="AS37" i="6" s="1"/>
  <c r="AR7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9" i="6"/>
  <c r="AJ8" i="6" s="1"/>
  <c r="AJ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7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10" i="6"/>
  <c r="D9" i="6"/>
  <c r="D8" i="6"/>
  <c r="D7" i="6"/>
  <c r="AJ5" i="7"/>
  <c r="AJ6" i="7"/>
  <c r="AJ7" i="7"/>
  <c r="AL7" i="7" s="1"/>
  <c r="AJ8" i="7"/>
  <c r="AJ9" i="7"/>
  <c r="AJ10" i="7"/>
  <c r="AJ11" i="7"/>
  <c r="AJ12" i="7"/>
  <c r="AJ13" i="7"/>
  <c r="AJ14" i="7"/>
  <c r="AJ15" i="7"/>
  <c r="AL15" i="7" s="1"/>
  <c r="AJ16" i="7"/>
  <c r="AJ17" i="7"/>
  <c r="AJ18" i="7"/>
  <c r="AJ19" i="7"/>
  <c r="AJ20" i="7"/>
  <c r="AJ21" i="7"/>
  <c r="AJ22" i="7"/>
  <c r="AJ23" i="7"/>
  <c r="AJ24" i="7"/>
  <c r="AJ25" i="7"/>
  <c r="AJ26" i="7"/>
  <c r="AJ27" i="7"/>
  <c r="AL27" i="7" s="1"/>
  <c r="AJ28" i="7"/>
  <c r="AJ29" i="7"/>
  <c r="AJ30" i="7"/>
  <c r="AJ31" i="7"/>
  <c r="AJ32" i="7"/>
  <c r="AJ33" i="7"/>
  <c r="AJ34" i="7"/>
  <c r="AJ4" i="7"/>
  <c r="AB5" i="7"/>
  <c r="AB6" i="7"/>
  <c r="AB7" i="7"/>
  <c r="AB8" i="7"/>
  <c r="AB9" i="7"/>
  <c r="AB10" i="7"/>
  <c r="AB11" i="7"/>
  <c r="AB12" i="7"/>
  <c r="AD12" i="7" s="1"/>
  <c r="AB13" i="7"/>
  <c r="AB14" i="7"/>
  <c r="AB15" i="7"/>
  <c r="AB16" i="7"/>
  <c r="AB17" i="7"/>
  <c r="AB18" i="7"/>
  <c r="AB19" i="7"/>
  <c r="AB20" i="7"/>
  <c r="AD20" i="7" s="1"/>
  <c r="AB21" i="7"/>
  <c r="AB22" i="7"/>
  <c r="AB23" i="7"/>
  <c r="AB24" i="7"/>
  <c r="AB25" i="7"/>
  <c r="AB26" i="7"/>
  <c r="AB27" i="7"/>
  <c r="AB28" i="7"/>
  <c r="AD28" i="7" s="1"/>
  <c r="AB29" i="7"/>
  <c r="AB30" i="7"/>
  <c r="AB31" i="7"/>
  <c r="AB32" i="7"/>
  <c r="AB33" i="7"/>
  <c r="AB34" i="7"/>
  <c r="AB4" i="7"/>
  <c r="T5" i="7"/>
  <c r="T6" i="7"/>
  <c r="V6" i="7" s="1"/>
  <c r="T7" i="7"/>
  <c r="T8" i="7"/>
  <c r="T9" i="7"/>
  <c r="T10" i="7"/>
  <c r="V10" i="7" s="1"/>
  <c r="T11" i="7"/>
  <c r="T12" i="7"/>
  <c r="T13" i="7"/>
  <c r="T14" i="7"/>
  <c r="V14" i="7" s="1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V28" i="7" s="1"/>
  <c r="T29" i="7"/>
  <c r="T30" i="7"/>
  <c r="T31" i="7"/>
  <c r="T32" i="7"/>
  <c r="T33" i="7"/>
  <c r="T34" i="7"/>
  <c r="T4" i="7"/>
  <c r="U4" i="7" s="1"/>
  <c r="L5" i="7"/>
  <c r="L6" i="7"/>
  <c r="L7" i="7"/>
  <c r="L8" i="7"/>
  <c r="L9" i="7"/>
  <c r="L10" i="7"/>
  <c r="L11" i="7"/>
  <c r="L12" i="7"/>
  <c r="N12" i="7" s="1"/>
  <c r="L13" i="7"/>
  <c r="L14" i="7"/>
  <c r="L15" i="7"/>
  <c r="BB15" i="7" s="1"/>
  <c r="L16" i="7"/>
  <c r="L17" i="7"/>
  <c r="L18" i="7"/>
  <c r="N18" i="7" s="1"/>
  <c r="L19" i="7"/>
  <c r="L20" i="7"/>
  <c r="L21" i="7"/>
  <c r="L22" i="7"/>
  <c r="L23" i="7"/>
  <c r="L24" i="7"/>
  <c r="L25" i="7"/>
  <c r="L26" i="7"/>
  <c r="L27" i="7"/>
  <c r="L28" i="7"/>
  <c r="L29" i="7"/>
  <c r="N29" i="7" s="1"/>
  <c r="L30" i="7"/>
  <c r="L31" i="7"/>
  <c r="L32" i="7"/>
  <c r="L33" i="7"/>
  <c r="L34" i="7"/>
  <c r="L4" i="7"/>
  <c r="D5" i="7"/>
  <c r="F5" i="7" s="1"/>
  <c r="H5" i="7" s="1"/>
  <c r="D6" i="7"/>
  <c r="D7" i="7"/>
  <c r="D8" i="7"/>
  <c r="D9" i="7"/>
  <c r="D10" i="7"/>
  <c r="D11" i="7"/>
  <c r="D12" i="7"/>
  <c r="D13" i="7"/>
  <c r="D14" i="7"/>
  <c r="D15" i="7"/>
  <c r="D16" i="7"/>
  <c r="F16" i="7" s="1"/>
  <c r="D17" i="7"/>
  <c r="D18" i="7"/>
  <c r="D19" i="7"/>
  <c r="D20" i="7"/>
  <c r="D21" i="7"/>
  <c r="F21" i="7" s="1"/>
  <c r="D22" i="7"/>
  <c r="BB22" i="7" s="1"/>
  <c r="D23" i="7"/>
  <c r="F23" i="7" s="1"/>
  <c r="D24" i="7"/>
  <c r="D25" i="7"/>
  <c r="D26" i="7"/>
  <c r="D27" i="7"/>
  <c r="D28" i="7"/>
  <c r="D29" i="7"/>
  <c r="D30" i="7"/>
  <c r="D31" i="7"/>
  <c r="D32" i="7"/>
  <c r="D33" i="7"/>
  <c r="D34" i="7"/>
  <c r="D4" i="7"/>
  <c r="V25" i="7"/>
  <c r="C16" i="9"/>
  <c r="F9" i="7"/>
  <c r="BH7" i="6"/>
  <c r="BA4" i="7"/>
  <c r="BC4" i="7" s="1"/>
  <c r="AL13" i="7"/>
  <c r="AL19" i="7"/>
  <c r="AL23" i="7"/>
  <c r="AL31" i="7"/>
  <c r="AL6" i="7"/>
  <c r="AL16" i="7"/>
  <c r="AL30" i="7"/>
  <c r="C17" i="9"/>
  <c r="E17" i="9"/>
  <c r="AD6" i="7"/>
  <c r="AD14" i="7"/>
  <c r="AD22" i="7"/>
  <c r="AD32" i="7"/>
  <c r="AE5" i="7"/>
  <c r="AE6" i="7" s="1"/>
  <c r="AE7" i="7" s="1"/>
  <c r="AE8" i="7" s="1"/>
  <c r="AE9" i="7" s="1"/>
  <c r="AE10" i="7" s="1"/>
  <c r="AE11" i="7" s="1"/>
  <c r="AE12" i="7" s="1"/>
  <c r="AE13" i="7" s="1"/>
  <c r="AE14" i="7" s="1"/>
  <c r="AE15" i="7" s="1"/>
  <c r="AE16" i="7" s="1"/>
  <c r="AE17" i="7" s="1"/>
  <c r="AE18" i="7" s="1"/>
  <c r="AE19" i="7" s="1"/>
  <c r="AE20" i="7" s="1"/>
  <c r="AE21" i="7" s="1"/>
  <c r="AE22" i="7" s="1"/>
  <c r="AE23" i="7" s="1"/>
  <c r="AE24" i="7" s="1"/>
  <c r="AE25" i="7" s="1"/>
  <c r="AE26" i="7" s="1"/>
  <c r="AE27" i="7" s="1"/>
  <c r="AE28" i="7" s="1"/>
  <c r="AE29" i="7" s="1"/>
  <c r="AE30" i="7" s="1"/>
  <c r="AE31" i="7" s="1"/>
  <c r="AE32" i="7" s="1"/>
  <c r="AE33" i="7" s="1"/>
  <c r="AE34" i="7" s="1"/>
  <c r="F15" i="7"/>
  <c r="F34" i="7"/>
  <c r="N30" i="7"/>
  <c r="AL29" i="7"/>
  <c r="N25" i="7"/>
  <c r="N24" i="7"/>
  <c r="N21" i="7"/>
  <c r="N10" i="7"/>
  <c r="N8" i="7"/>
  <c r="AQ5" i="7"/>
  <c r="AQ6" i="7" s="1"/>
  <c r="AM5" i="7"/>
  <c r="AM6" i="7" s="1"/>
  <c r="AM7" i="7" s="1"/>
  <c r="AM8" i="7" s="1"/>
  <c r="AM9" i="7" s="1"/>
  <c r="AM10" i="7" s="1"/>
  <c r="AM11" i="7" s="1"/>
  <c r="AM12" i="7" s="1"/>
  <c r="AM13" i="7" s="1"/>
  <c r="AM14" i="7" s="1"/>
  <c r="AM15" i="7" s="1"/>
  <c r="AM16" i="7" s="1"/>
  <c r="AM17" i="7" s="1"/>
  <c r="AM18" i="7" s="1"/>
  <c r="AM19" i="7" s="1"/>
  <c r="AM20" i="7" s="1"/>
  <c r="AM21" i="7" s="1"/>
  <c r="AM22" i="7" s="1"/>
  <c r="AM23" i="7" s="1"/>
  <c r="AM24" i="7" s="1"/>
  <c r="AM25" i="7" s="1"/>
  <c r="AM26" i="7" s="1"/>
  <c r="AM27" i="7" s="1"/>
  <c r="AM28" i="7" s="1"/>
  <c r="AM29" i="7" s="1"/>
  <c r="AM30" i="7" s="1"/>
  <c r="AM31" i="7" s="1"/>
  <c r="AM32" i="7" s="1"/>
  <c r="AM33" i="7" s="1"/>
  <c r="AM34" i="7" s="1"/>
  <c r="W5" i="7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N5" i="7"/>
  <c r="G5" i="7"/>
  <c r="AR4" i="7"/>
  <c r="AS9" i="6"/>
  <c r="AT9" i="6" s="1"/>
  <c r="AS14" i="6"/>
  <c r="AS17" i="6"/>
  <c r="AT17" i="6" s="1"/>
  <c r="AS21" i="6"/>
  <c r="AS22" i="6"/>
  <c r="AS8" i="6"/>
  <c r="AT8" i="6" s="1"/>
  <c r="AS36" i="6"/>
  <c r="AS35" i="6"/>
  <c r="AT35" i="6" s="1"/>
  <c r="AS32" i="6"/>
  <c r="AT32" i="6" s="1"/>
  <c r="AS24" i="6"/>
  <c r="AT24" i="6" s="1"/>
  <c r="AS20" i="6"/>
  <c r="AS19" i="6"/>
  <c r="AS18" i="6"/>
  <c r="AS16" i="6"/>
  <c r="AT16" i="6" s="1"/>
  <c r="AS13" i="6"/>
  <c r="AU8" i="6"/>
  <c r="AU9" i="6" s="1"/>
  <c r="AT7" i="6"/>
  <c r="AV7" i="6" s="1"/>
  <c r="N15" i="7" l="1"/>
  <c r="V20" i="7"/>
  <c r="AT23" i="6"/>
  <c r="AS33" i="6"/>
  <c r="AT33" i="6" s="1"/>
  <c r="AS25" i="6"/>
  <c r="AT25" i="6" s="1"/>
  <c r="AT37" i="6"/>
  <c r="AT39" i="6" s="1"/>
  <c r="AT15" i="6"/>
  <c r="AS27" i="6"/>
  <c r="AT27" i="6" s="1"/>
  <c r="AT11" i="6"/>
  <c r="AS31" i="6"/>
  <c r="AT31" i="6" s="1"/>
  <c r="AT19" i="6"/>
  <c r="AS12" i="6"/>
  <c r="AT12" i="6" s="1"/>
  <c r="BA5" i="7"/>
  <c r="BC5" i="7" s="1"/>
  <c r="G6" i="7"/>
  <c r="V21" i="7"/>
  <c r="AD8" i="7"/>
  <c r="AD24" i="7"/>
  <c r="AD16" i="7"/>
  <c r="N20" i="7"/>
  <c r="V12" i="7"/>
  <c r="AD30" i="7"/>
  <c r="AR5" i="7"/>
  <c r="V26" i="7"/>
  <c r="V18" i="7"/>
  <c r="M4" i="7"/>
  <c r="N4" i="7" s="1"/>
  <c r="N13" i="7"/>
  <c r="AD25" i="7"/>
  <c r="N28" i="7"/>
  <c r="BB28" i="7"/>
  <c r="V31" i="7"/>
  <c r="N6" i="7"/>
  <c r="N11" i="7"/>
  <c r="V32" i="7"/>
  <c r="AL33" i="7"/>
  <c r="AL9" i="7"/>
  <c r="AL8" i="7"/>
  <c r="BB17" i="7"/>
  <c r="AL24" i="7"/>
  <c r="AL26" i="7"/>
  <c r="AD9" i="7"/>
  <c r="AD17" i="7"/>
  <c r="AD4" i="7"/>
  <c r="AD19" i="7"/>
  <c r="AD27" i="7"/>
  <c r="AD33" i="7"/>
  <c r="AD11" i="7"/>
  <c r="AD34" i="7"/>
  <c r="AD21" i="7"/>
  <c r="AD13" i="7"/>
  <c r="AD18" i="7"/>
  <c r="AD7" i="7"/>
  <c r="AD10" i="7"/>
  <c r="AD15" i="7"/>
  <c r="AD23" i="7"/>
  <c r="AD26" i="7"/>
  <c r="AD31" i="7"/>
  <c r="AD29" i="7"/>
  <c r="AD5" i="7"/>
  <c r="BB23" i="7"/>
  <c r="BB19" i="7"/>
  <c r="V17" i="7"/>
  <c r="V8" i="7"/>
  <c r="BB10" i="7"/>
  <c r="BB9" i="7"/>
  <c r="F30" i="7"/>
  <c r="F22" i="7"/>
  <c r="F6" i="7"/>
  <c r="F19" i="7"/>
  <c r="F11" i="7"/>
  <c r="BB6" i="7"/>
  <c r="F10" i="7"/>
  <c r="F33" i="7"/>
  <c r="V4" i="7"/>
  <c r="F7" i="7"/>
  <c r="BB7" i="7"/>
  <c r="F8" i="7"/>
  <c r="BB4" i="7"/>
  <c r="AQ7" i="7"/>
  <c r="AR6" i="7"/>
  <c r="BB5" i="7"/>
  <c r="V5" i="7"/>
  <c r="BB8" i="7"/>
  <c r="N9" i="7"/>
  <c r="AL10" i="7"/>
  <c r="AL20" i="7"/>
  <c r="AL22" i="7"/>
  <c r="BB30" i="7"/>
  <c r="N32" i="7"/>
  <c r="F14" i="7"/>
  <c r="V27" i="7"/>
  <c r="V29" i="7"/>
  <c r="F31" i="7"/>
  <c r="BB31" i="7"/>
  <c r="AK4" i="7"/>
  <c r="AL4" i="7" s="1"/>
  <c r="AL5" i="7"/>
  <c r="V7" i="7"/>
  <c r="BB14" i="7"/>
  <c r="V15" i="7"/>
  <c r="BB16" i="7"/>
  <c r="N16" i="7"/>
  <c r="F17" i="7"/>
  <c r="F25" i="7"/>
  <c r="N26" i="7"/>
  <c r="BB27" i="7"/>
  <c r="AL11" i="7"/>
  <c r="F12" i="7"/>
  <c r="F4" i="7"/>
  <c r="BB12" i="7"/>
  <c r="V13" i="7"/>
  <c r="V22" i="7"/>
  <c r="N23" i="7"/>
  <c r="V24" i="7"/>
  <c r="F29" i="7"/>
  <c r="BB29" i="7"/>
  <c r="N31" i="7"/>
  <c r="N19" i="7"/>
  <c r="N7" i="7"/>
  <c r="V9" i="7"/>
  <c r="BB13" i="7"/>
  <c r="F13" i="7"/>
  <c r="N14" i="7"/>
  <c r="V16" i="7"/>
  <c r="F18" i="7"/>
  <c r="AL21" i="7"/>
  <c r="BB24" i="7"/>
  <c r="BB32" i="7"/>
  <c r="V33" i="7"/>
  <c r="BB34" i="7"/>
  <c r="N34" i="7"/>
  <c r="AL14" i="7"/>
  <c r="BB11" i="7"/>
  <c r="AL17" i="7"/>
  <c r="BB20" i="7"/>
  <c r="BB25" i="7"/>
  <c r="N27" i="7"/>
  <c r="AL34" i="7"/>
  <c r="BB18" i="7"/>
  <c r="BB26" i="7"/>
  <c r="F26" i="7"/>
  <c r="F28" i="7"/>
  <c r="AL32" i="7"/>
  <c r="V34" i="7"/>
  <c r="BB33" i="7"/>
  <c r="AL12" i="7"/>
  <c r="N17" i="7"/>
  <c r="AL18" i="7"/>
  <c r="V19" i="7"/>
  <c r="F20" i="7"/>
  <c r="BB21" i="7"/>
  <c r="N22" i="7"/>
  <c r="V23" i="7"/>
  <c r="AL25" i="7"/>
  <c r="AL28" i="7"/>
  <c r="V30" i="7"/>
  <c r="F32" i="7"/>
  <c r="F24" i="7"/>
  <c r="AU10" i="6"/>
  <c r="AU11" i="6" s="1"/>
  <c r="AU12" i="6" s="1"/>
  <c r="AU13" i="6" s="1"/>
  <c r="AU14" i="6" s="1"/>
  <c r="AU15" i="6" s="1"/>
  <c r="AV9" i="6"/>
  <c r="AV8" i="6"/>
  <c r="AT36" i="6"/>
  <c r="AT20" i="6"/>
  <c r="AT28" i="6"/>
  <c r="AT34" i="6"/>
  <c r="AT30" i="6"/>
  <c r="AT14" i="6"/>
  <c r="AT22" i="6"/>
  <c r="AT13" i="6"/>
  <c r="AT29" i="6"/>
  <c r="AT10" i="6"/>
  <c r="AT18" i="6"/>
  <c r="AT21" i="6"/>
  <c r="AT26" i="6"/>
  <c r="AV12" i="6" l="1"/>
  <c r="AV10" i="6"/>
  <c r="AV13" i="6"/>
  <c r="G7" i="7"/>
  <c r="BA6" i="7"/>
  <c r="BC6" i="7" s="1"/>
  <c r="AS5" i="7"/>
  <c r="AT5" i="7" s="1"/>
  <c r="AU5" i="7" s="1"/>
  <c r="AV5" i="7" s="1"/>
  <c r="AS6" i="7"/>
  <c r="AT6" i="7" s="1"/>
  <c r="AU6" i="7" s="1"/>
  <c r="AV6" i="7" s="1"/>
  <c r="AR7" i="7"/>
  <c r="AQ8" i="7"/>
  <c r="AS4" i="7"/>
  <c r="AV14" i="6"/>
  <c r="AV11" i="6"/>
  <c r="AU16" i="6"/>
  <c r="AV15" i="6"/>
  <c r="G8" i="7" l="1"/>
  <c r="BA7" i="7"/>
  <c r="BC7" i="7" s="1"/>
  <c r="AS7" i="7"/>
  <c r="AT7" i="7" s="1"/>
  <c r="AU7" i="7" s="1"/>
  <c r="AV7" i="7" s="1"/>
  <c r="AQ9" i="7"/>
  <c r="AR8" i="7"/>
  <c r="AT4" i="7"/>
  <c r="AU4" i="7" s="1"/>
  <c r="AV4" i="7" s="1"/>
  <c r="AU17" i="6"/>
  <c r="AV16" i="6"/>
  <c r="G9" i="7" l="1"/>
  <c r="BA8" i="7"/>
  <c r="BC8" i="7" s="1"/>
  <c r="AS8" i="7"/>
  <c r="AR9" i="7"/>
  <c r="AQ10" i="7"/>
  <c r="AU18" i="6"/>
  <c r="AV17" i="6"/>
  <c r="AT8" i="7" l="1"/>
  <c r="AU8" i="7" s="1"/>
  <c r="AV8" i="7" s="1"/>
  <c r="G10" i="7"/>
  <c r="BA9" i="7"/>
  <c r="BC9" i="7" s="1"/>
  <c r="AS9" i="7"/>
  <c r="AQ11" i="7"/>
  <c r="AR10" i="7"/>
  <c r="AU19" i="6"/>
  <c r="AV18" i="6"/>
  <c r="AT9" i="7" l="1"/>
  <c r="AU9" i="7" s="1"/>
  <c r="AV9" i="7" s="1"/>
  <c r="G11" i="7"/>
  <c r="BA10" i="7"/>
  <c r="BC10" i="7" s="1"/>
  <c r="AS10" i="7"/>
  <c r="AR11" i="7"/>
  <c r="AQ12" i="7"/>
  <c r="AU20" i="6"/>
  <c r="AV19" i="6"/>
  <c r="AT10" i="7" l="1"/>
  <c r="AU10" i="7" s="1"/>
  <c r="AV10" i="7" s="1"/>
  <c r="G12" i="7"/>
  <c r="BA11" i="7"/>
  <c r="BC11" i="7" s="1"/>
  <c r="AS11" i="7"/>
  <c r="AQ13" i="7"/>
  <c r="AR12" i="7"/>
  <c r="AU21" i="6"/>
  <c r="AV20" i="6"/>
  <c r="AT11" i="7" l="1"/>
  <c r="AU11" i="7" s="1"/>
  <c r="AV11" i="7" s="1"/>
  <c r="G13" i="7"/>
  <c r="BA12" i="7"/>
  <c r="BC12" i="7" s="1"/>
  <c r="AS12" i="7"/>
  <c r="AQ14" i="7"/>
  <c r="AR13" i="7"/>
  <c r="AU22" i="6"/>
  <c r="AV21" i="6"/>
  <c r="AT12" i="7" l="1"/>
  <c r="AU12" i="7" s="1"/>
  <c r="AV12" i="7" s="1"/>
  <c r="G14" i="7"/>
  <c r="BA13" i="7"/>
  <c r="BC13" i="7" s="1"/>
  <c r="AS13" i="7"/>
  <c r="AQ15" i="7"/>
  <c r="AR14" i="7"/>
  <c r="AU23" i="6"/>
  <c r="AV22" i="6"/>
  <c r="AT13" i="7" l="1"/>
  <c r="AU13" i="7" s="1"/>
  <c r="AV13" i="7" s="1"/>
  <c r="G15" i="7"/>
  <c r="BA14" i="7"/>
  <c r="BC14" i="7" s="1"/>
  <c r="AS14" i="7"/>
  <c r="AQ16" i="7"/>
  <c r="AR15" i="7"/>
  <c r="AU24" i="6"/>
  <c r="AV23" i="6"/>
  <c r="G16" i="7" l="1"/>
  <c r="BA15" i="7"/>
  <c r="BC15" i="7" s="1"/>
  <c r="AS15" i="7"/>
  <c r="AT14" i="7"/>
  <c r="AU14" i="7" s="1"/>
  <c r="AV14" i="7" s="1"/>
  <c r="AR16" i="7"/>
  <c r="AQ17" i="7"/>
  <c r="AU25" i="6"/>
  <c r="AV24" i="6"/>
  <c r="AT15" i="7" l="1"/>
  <c r="AU15" i="7" s="1"/>
  <c r="AV15" i="7" s="1"/>
  <c r="G17" i="7"/>
  <c r="BA16" i="7"/>
  <c r="BC16" i="7" s="1"/>
  <c r="AS16" i="7"/>
  <c r="AQ18" i="7"/>
  <c r="AR17" i="7"/>
  <c r="AU26" i="6"/>
  <c r="AV25" i="6"/>
  <c r="AT16" i="7" l="1"/>
  <c r="AU16" i="7" s="1"/>
  <c r="AV16" i="7" s="1"/>
  <c r="G18" i="7"/>
  <c r="BA17" i="7"/>
  <c r="BC17" i="7" s="1"/>
  <c r="AS17" i="7"/>
  <c r="AR18" i="7"/>
  <c r="AQ19" i="7"/>
  <c r="AU27" i="6"/>
  <c r="AV26" i="6"/>
  <c r="AT17" i="7" l="1"/>
  <c r="AU17" i="7" s="1"/>
  <c r="AV17" i="7" s="1"/>
  <c r="G19" i="7"/>
  <c r="BA18" i="7"/>
  <c r="BC18" i="7" s="1"/>
  <c r="AS18" i="7"/>
  <c r="AQ20" i="7"/>
  <c r="AR19" i="7"/>
  <c r="AU28" i="6"/>
  <c r="AV27" i="6"/>
  <c r="AT18" i="7" l="1"/>
  <c r="AU18" i="7" s="1"/>
  <c r="AV18" i="7" s="1"/>
  <c r="G20" i="7"/>
  <c r="BA19" i="7"/>
  <c r="BC19" i="7" s="1"/>
  <c r="AS19" i="7"/>
  <c r="AQ21" i="7"/>
  <c r="AR20" i="7"/>
  <c r="AU29" i="6"/>
  <c r="AV28" i="6"/>
  <c r="AT19" i="7" l="1"/>
  <c r="AU19" i="7" s="1"/>
  <c r="AV19" i="7" s="1"/>
  <c r="G21" i="7"/>
  <c r="BA20" i="7"/>
  <c r="BC20" i="7" s="1"/>
  <c r="AS20" i="7"/>
  <c r="AR21" i="7"/>
  <c r="AQ22" i="7"/>
  <c r="AU30" i="6"/>
  <c r="AV29" i="6"/>
  <c r="AT20" i="7" l="1"/>
  <c r="AU20" i="7" s="1"/>
  <c r="AV20" i="7" s="1"/>
  <c r="BA21" i="7"/>
  <c r="BC21" i="7" s="1"/>
  <c r="G22" i="7"/>
  <c r="AS21" i="7"/>
  <c r="AQ23" i="7"/>
  <c r="AR22" i="7"/>
  <c r="AU31" i="6"/>
  <c r="AV30" i="6"/>
  <c r="AT21" i="7" l="1"/>
  <c r="AU21" i="7" s="1"/>
  <c r="AV21" i="7" s="1"/>
  <c r="G23" i="7"/>
  <c r="BA22" i="7"/>
  <c r="BC22" i="7" s="1"/>
  <c r="AS22" i="7"/>
  <c r="AQ24" i="7"/>
  <c r="AR23" i="7"/>
  <c r="AU32" i="6"/>
  <c r="AV31" i="6"/>
  <c r="AT22" i="7" l="1"/>
  <c r="AU22" i="7" s="1"/>
  <c r="AV22" i="7" s="1"/>
  <c r="G24" i="7"/>
  <c r="BA23" i="7"/>
  <c r="BC23" i="7" s="1"/>
  <c r="AS23" i="7"/>
  <c r="AR24" i="7"/>
  <c r="AQ25" i="7"/>
  <c r="AU33" i="6"/>
  <c r="AV32" i="6"/>
  <c r="AT23" i="7" l="1"/>
  <c r="AU23" i="7" s="1"/>
  <c r="AV23" i="7" s="1"/>
  <c r="G25" i="7"/>
  <c r="BA24" i="7"/>
  <c r="BC24" i="7" s="1"/>
  <c r="AS24" i="7"/>
  <c r="AQ26" i="7"/>
  <c r="AR25" i="7"/>
  <c r="AU34" i="6"/>
  <c r="AV33" i="6"/>
  <c r="AT24" i="7" l="1"/>
  <c r="AU24" i="7" s="1"/>
  <c r="AV24" i="7" s="1"/>
  <c r="G26" i="7"/>
  <c r="BA25" i="7"/>
  <c r="BC25" i="7" s="1"/>
  <c r="AS25" i="7"/>
  <c r="AR26" i="7"/>
  <c r="AQ27" i="7"/>
  <c r="AU35" i="6"/>
  <c r="AV34" i="6"/>
  <c r="AT25" i="7" l="1"/>
  <c r="AU25" i="7" s="1"/>
  <c r="AV25" i="7" s="1"/>
  <c r="G27" i="7"/>
  <c r="BA26" i="7"/>
  <c r="BC26" i="7" s="1"/>
  <c r="AS26" i="7"/>
  <c r="AQ28" i="7"/>
  <c r="AR27" i="7"/>
  <c r="AU36" i="6"/>
  <c r="AV35" i="6"/>
  <c r="AT26" i="7" l="1"/>
  <c r="AU26" i="7" s="1"/>
  <c r="AV26" i="7" s="1"/>
  <c r="G28" i="7"/>
  <c r="BA27" i="7"/>
  <c r="BC27" i="7" s="1"/>
  <c r="AS27" i="7"/>
  <c r="AQ29" i="7"/>
  <c r="AR28" i="7"/>
  <c r="AU37" i="6"/>
  <c r="AV37" i="6" s="1"/>
  <c r="AV36" i="6"/>
  <c r="AT27" i="7" l="1"/>
  <c r="AU27" i="7" s="1"/>
  <c r="AV27" i="7" s="1"/>
  <c r="G29" i="7"/>
  <c r="BA28" i="7"/>
  <c r="BC28" i="7" s="1"/>
  <c r="AS28" i="7"/>
  <c r="AQ30" i="7"/>
  <c r="AR29" i="7"/>
  <c r="AT28" i="7" l="1"/>
  <c r="AU28" i="7" s="1"/>
  <c r="AV28" i="7" s="1"/>
  <c r="G30" i="7"/>
  <c r="BA29" i="7"/>
  <c r="BC29" i="7" s="1"/>
  <c r="AS29" i="7"/>
  <c r="AQ31" i="7"/>
  <c r="AR30" i="7"/>
  <c r="AT29" i="7" l="1"/>
  <c r="AU29" i="7" s="1"/>
  <c r="AV29" i="7" s="1"/>
  <c r="G31" i="7"/>
  <c r="BA30" i="7"/>
  <c r="BC30" i="7" s="1"/>
  <c r="AS30" i="7"/>
  <c r="AQ32" i="7"/>
  <c r="AR31" i="7"/>
  <c r="AT30" i="7" l="1"/>
  <c r="AU30" i="7" s="1"/>
  <c r="AV30" i="7" s="1"/>
  <c r="G32" i="7"/>
  <c r="BA31" i="7"/>
  <c r="BC31" i="7" s="1"/>
  <c r="AS31" i="7"/>
  <c r="AQ33" i="7"/>
  <c r="AR32" i="7"/>
  <c r="AT31" i="7" l="1"/>
  <c r="AU31" i="7" s="1"/>
  <c r="AV31" i="7" s="1"/>
  <c r="G33" i="7"/>
  <c r="BA32" i="7"/>
  <c r="BC32" i="7" s="1"/>
  <c r="AS32" i="7"/>
  <c r="AQ34" i="7"/>
  <c r="AR34" i="7" s="1"/>
  <c r="AR33" i="7"/>
  <c r="G34" i="7" l="1"/>
  <c r="BA33" i="7"/>
  <c r="BC33" i="7" s="1"/>
  <c r="AS33" i="7"/>
  <c r="AT32" i="7"/>
  <c r="AU32" i="7" s="1"/>
  <c r="AV32" i="7" s="1"/>
  <c r="AT33" i="7" l="1"/>
  <c r="AU33" i="7" s="1"/>
  <c r="AV33" i="7" s="1"/>
  <c r="BA34" i="7"/>
  <c r="BC34" i="7" s="1"/>
  <c r="AZ4" i="7"/>
  <c r="AS34" i="7" l="1"/>
  <c r="AT34" i="7" l="1"/>
  <c r="AU34" i="7" s="1"/>
  <c r="AV34" i="7" s="1"/>
  <c r="AD35" i="6"/>
  <c r="AD34" i="6"/>
  <c r="AD33" i="6"/>
  <c r="AD31" i="6"/>
  <c r="AD30" i="6"/>
  <c r="AD22" i="6"/>
  <c r="AD17" i="6"/>
  <c r="AD16" i="6"/>
  <c r="AD15" i="6"/>
  <c r="AD12" i="6"/>
  <c r="AD11" i="6"/>
  <c r="AD8" i="6"/>
  <c r="N37" i="6"/>
  <c r="N39" i="6" s="1"/>
  <c r="N32" i="6"/>
  <c r="N23" i="6"/>
  <c r="N22" i="6"/>
  <c r="N17" i="6"/>
  <c r="N14" i="6"/>
  <c r="N12" i="6"/>
  <c r="N10" i="6"/>
  <c r="N9" i="6"/>
  <c r="V37" i="6"/>
  <c r="V39" i="6" s="1"/>
  <c r="V36" i="6"/>
  <c r="N36" i="6"/>
  <c r="BI36" i="6"/>
  <c r="AL35" i="6"/>
  <c r="BI34" i="6"/>
  <c r="N31" i="6"/>
  <c r="AL30" i="6"/>
  <c r="AL29" i="6"/>
  <c r="AD29" i="6"/>
  <c r="N29" i="6"/>
  <c r="N28" i="6"/>
  <c r="V27" i="6"/>
  <c r="AL26" i="6"/>
  <c r="AL25" i="6"/>
  <c r="V23" i="6"/>
  <c r="AL22" i="6"/>
  <c r="AD20" i="6"/>
  <c r="BI20" i="6"/>
  <c r="AL19" i="6"/>
  <c r="V19" i="6"/>
  <c r="V14" i="6"/>
  <c r="N13" i="6"/>
  <c r="V12" i="6"/>
  <c r="AL11" i="6"/>
  <c r="AL10" i="6"/>
  <c r="V10" i="6"/>
  <c r="V9" i="6"/>
  <c r="AX8" i="6"/>
  <c r="AX9" i="6" s="1"/>
  <c r="AM8" i="6"/>
  <c r="AM9" i="6" s="1"/>
  <c r="AM10" i="6" s="1"/>
  <c r="AM11" i="6" s="1"/>
  <c r="AM12" i="6" s="1"/>
  <c r="AM13" i="6" s="1"/>
  <c r="AM14" i="6" s="1"/>
  <c r="AM15" i="6" s="1"/>
  <c r="AM16" i="6" s="1"/>
  <c r="AM17" i="6" s="1"/>
  <c r="AM18" i="6" s="1"/>
  <c r="AM19" i="6" s="1"/>
  <c r="AM20" i="6" s="1"/>
  <c r="AM21" i="6" s="1"/>
  <c r="AM22" i="6" s="1"/>
  <c r="AM23" i="6" s="1"/>
  <c r="AM24" i="6" s="1"/>
  <c r="AM25" i="6" s="1"/>
  <c r="AM26" i="6" s="1"/>
  <c r="AE8" i="6"/>
  <c r="AE9" i="6" s="1"/>
  <c r="AE10" i="6" s="1"/>
  <c r="AE11" i="6" s="1"/>
  <c r="AE12" i="6" s="1"/>
  <c r="AE13" i="6" s="1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W8" i="6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O8" i="6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G8" i="6"/>
  <c r="AY7" i="6"/>
  <c r="AK7" i="6"/>
  <c r="AL7" i="6" s="1"/>
  <c r="AN7" i="6" s="1"/>
  <c r="BI24" i="6" l="1"/>
  <c r="BI33" i="6"/>
  <c r="BI17" i="6"/>
  <c r="F26" i="6"/>
  <c r="BI26" i="6"/>
  <c r="F28" i="6"/>
  <c r="BI28" i="6"/>
  <c r="BI31" i="6"/>
  <c r="BI10" i="6"/>
  <c r="F15" i="6"/>
  <c r="BI15" i="6"/>
  <c r="F22" i="6"/>
  <c r="BI22" i="6"/>
  <c r="F7" i="6"/>
  <c r="H7" i="6" s="1"/>
  <c r="BI7" i="6"/>
  <c r="BJ7" i="6"/>
  <c r="F13" i="6"/>
  <c r="BI13" i="6"/>
  <c r="F18" i="6"/>
  <c r="BI18" i="6"/>
  <c r="F11" i="6"/>
  <c r="BI11" i="6"/>
  <c r="BI23" i="6"/>
  <c r="F25" i="6"/>
  <c r="BI25" i="6"/>
  <c r="BI27" i="6"/>
  <c r="F30" i="6"/>
  <c r="BI30" i="6"/>
  <c r="F32" i="6"/>
  <c r="BI32" i="6"/>
  <c r="F37" i="6"/>
  <c r="F39" i="6" s="1"/>
  <c r="BI37" i="6"/>
  <c r="BI16" i="6"/>
  <c r="BI35" i="6"/>
  <c r="BI8" i="6"/>
  <c r="BI9" i="6"/>
  <c r="F14" i="6"/>
  <c r="BI14" i="6"/>
  <c r="BI19" i="6"/>
  <c r="BI21" i="6"/>
  <c r="BI29" i="6"/>
  <c r="G9" i="6"/>
  <c r="BH8" i="6"/>
  <c r="BJ8" i="6" s="1"/>
  <c r="AX7" i="7"/>
  <c r="X14" i="6"/>
  <c r="X10" i="6"/>
  <c r="X9" i="6"/>
  <c r="X19" i="6"/>
  <c r="X23" i="6"/>
  <c r="AD25" i="6"/>
  <c r="AF25" i="6" s="1"/>
  <c r="X27" i="6"/>
  <c r="X12" i="6"/>
  <c r="V17" i="6"/>
  <c r="X17" i="6" s="1"/>
  <c r="F19" i="6"/>
  <c r="V34" i="6"/>
  <c r="X34" i="6" s="1"/>
  <c r="AF17" i="6"/>
  <c r="AF11" i="6"/>
  <c r="AL23" i="6"/>
  <c r="AN23" i="6" s="1"/>
  <c r="AL33" i="6"/>
  <c r="F35" i="6"/>
  <c r="AF12" i="6"/>
  <c r="AF20" i="6"/>
  <c r="V25" i="6"/>
  <c r="X25" i="6" s="1"/>
  <c r="F31" i="6"/>
  <c r="V35" i="6"/>
  <c r="X35" i="6" s="1"/>
  <c r="AF22" i="6"/>
  <c r="AN10" i="6"/>
  <c r="AN19" i="6"/>
  <c r="AN25" i="6"/>
  <c r="AN11" i="6"/>
  <c r="AM27" i="6"/>
  <c r="AM28" i="6" s="1"/>
  <c r="AM29" i="6" s="1"/>
  <c r="AM30" i="6" s="1"/>
  <c r="AM31" i="6" s="1"/>
  <c r="AM32" i="6" s="1"/>
  <c r="AM33" i="6" s="1"/>
  <c r="AM34" i="6" s="1"/>
  <c r="AM35" i="6" s="1"/>
  <c r="AM36" i="6" s="1"/>
  <c r="AM37" i="6" s="1"/>
  <c r="AN26" i="6"/>
  <c r="AN22" i="6"/>
  <c r="AF15" i="6"/>
  <c r="P31" i="6"/>
  <c r="P28" i="6"/>
  <c r="V31" i="6"/>
  <c r="X31" i="6" s="1"/>
  <c r="P10" i="6"/>
  <c r="P29" i="6"/>
  <c r="P12" i="6"/>
  <c r="P13" i="6"/>
  <c r="V28" i="6"/>
  <c r="X28" i="6" s="1"/>
  <c r="AL32" i="6"/>
  <c r="P9" i="6"/>
  <c r="P14" i="6"/>
  <c r="P22" i="6"/>
  <c r="AF16" i="6"/>
  <c r="AF8" i="6"/>
  <c r="V15" i="6"/>
  <c r="X15" i="6" s="1"/>
  <c r="P17" i="6"/>
  <c r="P23" i="6"/>
  <c r="N16" i="6"/>
  <c r="P16" i="6" s="1"/>
  <c r="N24" i="6"/>
  <c r="P24" i="6" s="1"/>
  <c r="N33" i="6"/>
  <c r="N34" i="6"/>
  <c r="AL8" i="6"/>
  <c r="AE26" i="6"/>
  <c r="AE27" i="6" s="1"/>
  <c r="AE28" i="6" s="1"/>
  <c r="AE29" i="6" s="1"/>
  <c r="AE30" i="6" s="1"/>
  <c r="AE31" i="6" s="1"/>
  <c r="AF31" i="6" s="1"/>
  <c r="W36" i="6"/>
  <c r="AX10" i="6"/>
  <c r="AY9" i="6"/>
  <c r="O32" i="6"/>
  <c r="O33" i="6" s="1"/>
  <c r="U7" i="6"/>
  <c r="V7" i="6" s="1"/>
  <c r="X7" i="6" s="1"/>
  <c r="N8" i="6"/>
  <c r="P8" i="6" s="1"/>
  <c r="AL9" i="6"/>
  <c r="AN9" i="6" s="1"/>
  <c r="V11" i="6"/>
  <c r="X11" i="6" s="1"/>
  <c r="AD13" i="6"/>
  <c r="AF13" i="6" s="1"/>
  <c r="AD14" i="6"/>
  <c r="AF14" i="6" s="1"/>
  <c r="AD18" i="6"/>
  <c r="AF18" i="6" s="1"/>
  <c r="N21" i="6"/>
  <c r="P21" i="6" s="1"/>
  <c r="AD23" i="6"/>
  <c r="AF23" i="6" s="1"/>
  <c r="V24" i="6"/>
  <c r="X24" i="6" s="1"/>
  <c r="N25" i="6"/>
  <c r="P25" i="6" s="1"/>
  <c r="AD26" i="6"/>
  <c r="F29" i="6"/>
  <c r="V30" i="6"/>
  <c r="X30" i="6" s="1"/>
  <c r="V32" i="6"/>
  <c r="X32" i="6" s="1"/>
  <c r="F16" i="6"/>
  <c r="N18" i="6"/>
  <c r="P18" i="6" s="1"/>
  <c r="N19" i="6"/>
  <c r="P19" i="6" s="1"/>
  <c r="AD19" i="6"/>
  <c r="AF19" i="6" s="1"/>
  <c r="AL21" i="6"/>
  <c r="AN21" i="6" s="1"/>
  <c r="F24" i="6"/>
  <c r="AL34" i="6"/>
  <c r="AD32" i="6"/>
  <c r="F8" i="6"/>
  <c r="H8" i="6" s="1"/>
  <c r="AD9" i="6"/>
  <c r="AF9" i="6" s="1"/>
  <c r="N15" i="6"/>
  <c r="P15" i="6" s="1"/>
  <c r="V16" i="6"/>
  <c r="X16" i="6" s="1"/>
  <c r="AL16" i="6"/>
  <c r="AN16" i="6" s="1"/>
  <c r="AL18" i="6"/>
  <c r="AN18" i="6" s="1"/>
  <c r="V21" i="6"/>
  <c r="X21" i="6" s="1"/>
  <c r="AD27" i="6"/>
  <c r="F33" i="6"/>
  <c r="N35" i="6"/>
  <c r="M7" i="6"/>
  <c r="N7" i="6" s="1"/>
  <c r="AC7" i="6"/>
  <c r="AD7" i="6" s="1"/>
  <c r="AF7" i="6" s="1"/>
  <c r="AY8" i="6"/>
  <c r="F9" i="6"/>
  <c r="AD10" i="6"/>
  <c r="AF10" i="6" s="1"/>
  <c r="N11" i="6"/>
  <c r="P11" i="6" s="1"/>
  <c r="V13" i="6"/>
  <c r="X13" i="6" s="1"/>
  <c r="AL14" i="6"/>
  <c r="AN14" i="6" s="1"/>
  <c r="V18" i="6"/>
  <c r="X18" i="6" s="1"/>
  <c r="AL20" i="6"/>
  <c r="AN20" i="6" s="1"/>
  <c r="F21" i="6"/>
  <c r="F23" i="6"/>
  <c r="N26" i="6"/>
  <c r="P26" i="6" s="1"/>
  <c r="AL31" i="6"/>
  <c r="AD36" i="6"/>
  <c r="AD37" i="6"/>
  <c r="AD39" i="6" s="1"/>
  <c r="V8" i="6"/>
  <c r="X8" i="6" s="1"/>
  <c r="F10" i="6"/>
  <c r="F12" i="6"/>
  <c r="AL13" i="6"/>
  <c r="AN13" i="6" s="1"/>
  <c r="F20" i="6"/>
  <c r="V20" i="6"/>
  <c r="X20" i="6" s="1"/>
  <c r="V26" i="6"/>
  <c r="X26" i="6" s="1"/>
  <c r="AL27" i="6"/>
  <c r="AD28" i="6"/>
  <c r="AL12" i="6"/>
  <c r="AN12" i="6" s="1"/>
  <c r="F17" i="6"/>
  <c r="AL17" i="6"/>
  <c r="AN17" i="6" s="1"/>
  <c r="AD21" i="6"/>
  <c r="AF21" i="6" s="1"/>
  <c r="AL24" i="6"/>
  <c r="AN24" i="6" s="1"/>
  <c r="N27" i="6"/>
  <c r="P27" i="6" s="1"/>
  <c r="N30" i="6"/>
  <c r="P30" i="6" s="1"/>
  <c r="F34" i="6"/>
  <c r="F36" i="6"/>
  <c r="AL15" i="6"/>
  <c r="AN15" i="6" s="1"/>
  <c r="N20" i="6"/>
  <c r="P20" i="6" s="1"/>
  <c r="V22" i="6"/>
  <c r="X22" i="6" s="1"/>
  <c r="V29" i="6"/>
  <c r="X29" i="6" s="1"/>
  <c r="V33" i="6"/>
  <c r="X33" i="6" s="1"/>
  <c r="AL36" i="6"/>
  <c r="AL37" i="6"/>
  <c r="AL39" i="6" s="1"/>
  <c r="AD24" i="6"/>
  <c r="AF24" i="6" s="1"/>
  <c r="F27" i="6"/>
  <c r="AL28" i="6"/>
  <c r="H9" i="6" l="1"/>
  <c r="AZ9" i="6" s="1"/>
  <c r="BA9" i="6" s="1"/>
  <c r="BB9" i="6" s="1"/>
  <c r="BC9" i="6" s="1"/>
  <c r="G10" i="6"/>
  <c r="BH9" i="6"/>
  <c r="BJ9" i="6" s="1"/>
  <c r="AX10" i="7"/>
  <c r="AY10" i="7" s="1"/>
  <c r="AN27" i="6"/>
  <c r="AF28" i="6"/>
  <c r="AF27" i="6"/>
  <c r="AN37" i="6"/>
  <c r="AN31" i="6"/>
  <c r="P32" i="6"/>
  <c r="AN30" i="6"/>
  <c r="AN36" i="6"/>
  <c r="AN32" i="6"/>
  <c r="AN33" i="6"/>
  <c r="AF29" i="6"/>
  <c r="AN28" i="6"/>
  <c r="AF26" i="6"/>
  <c r="P33" i="6"/>
  <c r="AN29" i="6"/>
  <c r="AN34" i="6"/>
  <c r="AN8" i="6"/>
  <c r="AN35" i="6"/>
  <c r="W37" i="6"/>
  <c r="X37" i="6" s="1"/>
  <c r="X36" i="6"/>
  <c r="AF30" i="6"/>
  <c r="P7" i="6"/>
  <c r="AZ7" i="6" s="1"/>
  <c r="O34" i="6"/>
  <c r="P34" i="6" s="1"/>
  <c r="AE32" i="6"/>
  <c r="AE33" i="6" s="1"/>
  <c r="AF33" i="6" s="1"/>
  <c r="AY10" i="6"/>
  <c r="AX11" i="6"/>
  <c r="G11" i="6" l="1"/>
  <c r="BH10" i="6"/>
  <c r="BJ10" i="6" s="1"/>
  <c r="H10" i="6"/>
  <c r="AZ10" i="6" s="1"/>
  <c r="AX13" i="7"/>
  <c r="AZ8" i="6"/>
  <c r="AF32" i="6"/>
  <c r="BA7" i="6"/>
  <c r="BB7" i="6" s="1"/>
  <c r="BC7" i="6" s="1"/>
  <c r="O35" i="6"/>
  <c r="P35" i="6" s="1"/>
  <c r="AE34" i="6"/>
  <c r="AF34" i="6" s="1"/>
  <c r="AY11" i="6"/>
  <c r="AX12" i="6"/>
  <c r="BA10" i="6" l="1"/>
  <c r="BB10" i="6" s="1"/>
  <c r="BC10" i="6" s="1"/>
  <c r="BA8" i="6"/>
  <c r="BB8" i="6" s="1"/>
  <c r="BC8" i="6" s="1"/>
  <c r="G12" i="6"/>
  <c r="BH11" i="6"/>
  <c r="BJ11" i="6" s="1"/>
  <c r="H11" i="6"/>
  <c r="AZ11" i="6" s="1"/>
  <c r="O36" i="6"/>
  <c r="P36" i="6" s="1"/>
  <c r="AY12" i="6"/>
  <c r="AX13" i="6"/>
  <c r="AE35" i="6"/>
  <c r="AF35" i="6" s="1"/>
  <c r="BA11" i="6" l="1"/>
  <c r="BB11" i="6" s="1"/>
  <c r="BC11" i="6" s="1"/>
  <c r="G13" i="6"/>
  <c r="BH12" i="6"/>
  <c r="BJ12" i="6" s="1"/>
  <c r="H12" i="6"/>
  <c r="AZ12" i="6" s="1"/>
  <c r="O37" i="6"/>
  <c r="P37" i="6" s="1"/>
  <c r="AE36" i="6"/>
  <c r="AF36" i="6" s="1"/>
  <c r="AY13" i="6"/>
  <c r="AX14" i="6"/>
  <c r="BA12" i="6" l="1"/>
  <c r="BB12" i="6" s="1"/>
  <c r="BC12" i="6" s="1"/>
  <c r="G14" i="6"/>
  <c r="BH13" i="6"/>
  <c r="BJ13" i="6" s="1"/>
  <c r="H13" i="6"/>
  <c r="AZ13" i="6" s="1"/>
  <c r="AY14" i="6"/>
  <c r="AX15" i="6"/>
  <c r="AE37" i="6"/>
  <c r="AF37" i="6" s="1"/>
  <c r="BA13" i="6" l="1"/>
  <c r="BB13" i="6" s="1"/>
  <c r="BC13" i="6" s="1"/>
  <c r="G15" i="6"/>
  <c r="BH14" i="6"/>
  <c r="BJ14" i="6" s="1"/>
  <c r="H14" i="6"/>
  <c r="AZ14" i="6" s="1"/>
  <c r="AX16" i="6"/>
  <c r="AY15" i="6"/>
  <c r="BA14" i="6" l="1"/>
  <c r="BB14" i="6" s="1"/>
  <c r="BC14" i="6" s="1"/>
  <c r="G16" i="6"/>
  <c r="BH15" i="6"/>
  <c r="BJ15" i="6" s="1"/>
  <c r="H15" i="6"/>
  <c r="AZ15" i="6" s="1"/>
  <c r="AY16" i="6"/>
  <c r="AX17" i="6"/>
  <c r="BA15" i="6" l="1"/>
  <c r="BB15" i="6" s="1"/>
  <c r="BC15" i="6" s="1"/>
  <c r="G17" i="6"/>
  <c r="BH16" i="6"/>
  <c r="BJ16" i="6" s="1"/>
  <c r="H16" i="6"/>
  <c r="AZ16" i="6" s="1"/>
  <c r="AX18" i="6"/>
  <c r="AY17" i="6"/>
  <c r="BA16" i="6" l="1"/>
  <c r="BB16" i="6" s="1"/>
  <c r="BC16" i="6" s="1"/>
  <c r="G18" i="6"/>
  <c r="BH17" i="6"/>
  <c r="BJ17" i="6" s="1"/>
  <c r="H17" i="6"/>
  <c r="AZ17" i="6" s="1"/>
  <c r="AY18" i="6"/>
  <c r="AX19" i="6"/>
  <c r="BA17" i="6" l="1"/>
  <c r="BB17" i="6" s="1"/>
  <c r="BC17" i="6" s="1"/>
  <c r="G19" i="6"/>
  <c r="BH18" i="6"/>
  <c r="BJ18" i="6" s="1"/>
  <c r="H18" i="6"/>
  <c r="AZ18" i="6" s="1"/>
  <c r="AX20" i="6"/>
  <c r="AY19" i="6"/>
  <c r="BA18" i="6" l="1"/>
  <c r="BB18" i="6" s="1"/>
  <c r="BC18" i="6" s="1"/>
  <c r="BH19" i="6"/>
  <c r="BJ19" i="6" s="1"/>
  <c r="G20" i="6"/>
  <c r="H19" i="6"/>
  <c r="AZ19" i="6" s="1"/>
  <c r="AX21" i="6"/>
  <c r="AY20" i="6"/>
  <c r="BA19" i="6" l="1"/>
  <c r="BB19" i="6" s="1"/>
  <c r="BC19" i="6" s="1"/>
  <c r="G21" i="6"/>
  <c r="BH20" i="6"/>
  <c r="BJ20" i="6"/>
  <c r="H20" i="6"/>
  <c r="AZ20" i="6" s="1"/>
  <c r="AY21" i="6"/>
  <c r="AX22" i="6"/>
  <c r="BA20" i="6" l="1"/>
  <c r="BB20" i="6" s="1"/>
  <c r="BC20" i="6" s="1"/>
  <c r="G22" i="6"/>
  <c r="BH21" i="6"/>
  <c r="BJ21" i="6" s="1"/>
  <c r="H21" i="6"/>
  <c r="AZ21" i="6" s="1"/>
  <c r="BA21" i="6" s="1"/>
  <c r="BB21" i="6" s="1"/>
  <c r="BC21" i="6" s="1"/>
  <c r="AY22" i="6"/>
  <c r="AX23" i="6"/>
  <c r="G23" i="6" l="1"/>
  <c r="BH22" i="6"/>
  <c r="BJ22" i="6" s="1"/>
  <c r="H22" i="6"/>
  <c r="AZ22" i="6" s="1"/>
  <c r="AX24" i="6"/>
  <c r="AY23" i="6"/>
  <c r="BA22" i="6" l="1"/>
  <c r="BB22" i="6" s="1"/>
  <c r="BC22" i="6" s="1"/>
  <c r="G24" i="6"/>
  <c r="BH23" i="6"/>
  <c r="BJ23" i="6" s="1"/>
  <c r="H23" i="6"/>
  <c r="AZ23" i="6" s="1"/>
  <c r="AX25" i="6"/>
  <c r="AY24" i="6"/>
  <c r="BA23" i="6" l="1"/>
  <c r="BB23" i="6" s="1"/>
  <c r="BC23" i="6" s="1"/>
  <c r="G25" i="6"/>
  <c r="BH24" i="6"/>
  <c r="BJ24" i="6" s="1"/>
  <c r="H24" i="6"/>
  <c r="AZ24" i="6" s="1"/>
  <c r="BA24" i="6" s="1"/>
  <c r="BB24" i="6" s="1"/>
  <c r="BC24" i="6" s="1"/>
  <c r="AY25" i="6"/>
  <c r="AX26" i="6"/>
  <c r="H25" i="6" l="1"/>
  <c r="AZ25" i="6" s="1"/>
  <c r="BH25" i="6"/>
  <c r="BJ25" i="6"/>
  <c r="G26" i="6"/>
  <c r="AX27" i="6"/>
  <c r="AY26" i="6"/>
  <c r="H26" i="6" l="1"/>
  <c r="AZ26" i="6" s="1"/>
  <c r="BH26" i="6"/>
  <c r="BJ26" i="6" s="1"/>
  <c r="G27" i="6"/>
  <c r="BA25" i="6"/>
  <c r="BB25" i="6" s="1"/>
  <c r="BC25" i="6" s="1"/>
  <c r="AY27" i="6"/>
  <c r="AX28" i="6"/>
  <c r="H27" i="6" l="1"/>
  <c r="AZ27" i="6" s="1"/>
  <c r="BH27" i="6"/>
  <c r="BJ27" i="6"/>
  <c r="G28" i="6"/>
  <c r="BA26" i="6"/>
  <c r="BB26" i="6" s="1"/>
  <c r="BC26" i="6" s="1"/>
  <c r="AX29" i="6"/>
  <c r="AY28" i="6"/>
  <c r="H28" i="6" l="1"/>
  <c r="AZ28" i="6" s="1"/>
  <c r="BH28" i="6"/>
  <c r="BJ28" i="6" s="1"/>
  <c r="G29" i="6"/>
  <c r="BA27" i="6"/>
  <c r="BB27" i="6" s="1"/>
  <c r="BC27" i="6" s="1"/>
  <c r="AX30" i="6"/>
  <c r="AY29" i="6"/>
  <c r="H29" i="6" l="1"/>
  <c r="AZ29" i="6" s="1"/>
  <c r="BH29" i="6"/>
  <c r="BJ29" i="6" s="1"/>
  <c r="G30" i="6"/>
  <c r="BA28" i="6"/>
  <c r="BB28" i="6" s="1"/>
  <c r="BC28" i="6" s="1"/>
  <c r="AX31" i="6"/>
  <c r="AY30" i="6"/>
  <c r="BA29" i="6" l="1"/>
  <c r="BB29" i="6" s="1"/>
  <c r="BC29" i="6" s="1"/>
  <c r="H30" i="6"/>
  <c r="AZ30" i="6" s="1"/>
  <c r="BH30" i="6"/>
  <c r="BJ30" i="6" s="1"/>
  <c r="G31" i="6"/>
  <c r="AX32" i="6"/>
  <c r="AY31" i="6"/>
  <c r="H31" i="6" l="1"/>
  <c r="AZ31" i="6" s="1"/>
  <c r="BH31" i="6"/>
  <c r="BJ31" i="6" s="1"/>
  <c r="G32" i="6"/>
  <c r="BA30" i="6"/>
  <c r="BB30" i="6" s="1"/>
  <c r="BC30" i="6" s="1"/>
  <c r="AY32" i="6"/>
  <c r="AX33" i="6"/>
  <c r="H32" i="6" l="1"/>
  <c r="AZ32" i="6" s="1"/>
  <c r="BH32" i="6"/>
  <c r="BJ32" i="6" s="1"/>
  <c r="G33" i="6"/>
  <c r="BA31" i="6"/>
  <c r="BB31" i="6" s="1"/>
  <c r="BC31" i="6" s="1"/>
  <c r="AX34" i="6"/>
  <c r="AY33" i="6"/>
  <c r="H33" i="6" l="1"/>
  <c r="AZ33" i="6" s="1"/>
  <c r="BH33" i="6"/>
  <c r="BJ33" i="6" s="1"/>
  <c r="G34" i="6"/>
  <c r="BA32" i="6"/>
  <c r="BB32" i="6" s="1"/>
  <c r="BC32" i="6" s="1"/>
  <c r="AX35" i="6"/>
  <c r="AY34" i="6"/>
  <c r="H34" i="6" l="1"/>
  <c r="AZ34" i="6" s="1"/>
  <c r="BH34" i="6"/>
  <c r="BJ34" i="6" s="1"/>
  <c r="G35" i="6"/>
  <c r="BA33" i="6"/>
  <c r="BB33" i="6" s="1"/>
  <c r="BC33" i="6" s="1"/>
  <c r="AX36" i="6"/>
  <c r="AY35" i="6"/>
  <c r="BA34" i="6" l="1"/>
  <c r="BB34" i="6" s="1"/>
  <c r="BC34" i="6" s="1"/>
  <c r="H35" i="6"/>
  <c r="AZ35" i="6" s="1"/>
  <c r="BH35" i="6"/>
  <c r="BJ35" i="6" s="1"/>
  <c r="G36" i="6"/>
  <c r="AX37" i="6"/>
  <c r="AY37" i="6" s="1"/>
  <c r="AY36" i="6"/>
  <c r="H36" i="6" l="1"/>
  <c r="AZ36" i="6" s="1"/>
  <c r="BH36" i="6"/>
  <c r="BJ36" i="6" s="1"/>
  <c r="G37" i="6"/>
  <c r="BA35" i="6"/>
  <c r="BB35" i="6" s="1"/>
  <c r="BC35" i="6" s="1"/>
  <c r="BH37" i="6" l="1"/>
  <c r="BJ37" i="6" s="1"/>
  <c r="H37" i="6"/>
  <c r="AZ37" i="6" s="1"/>
  <c r="BG7" i="6"/>
  <c r="BA36" i="6"/>
  <c r="BB36" i="6" s="1"/>
  <c r="BC36" i="6" s="1"/>
  <c r="BA37" i="6" l="1"/>
  <c r="BB37" i="6" s="1"/>
  <c r="BE13" i="6" l="1"/>
  <c r="BF13" i="6" l="1"/>
  <c r="BE16" i="6"/>
  <c r="BF16" i="6" s="1"/>
</calcChain>
</file>

<file path=xl/sharedStrings.xml><?xml version="1.0" encoding="utf-8"?>
<sst xmlns="http://schemas.openxmlformats.org/spreadsheetml/2006/main" count="572" uniqueCount="120">
  <si>
    <t>Home orchard</t>
  </si>
  <si>
    <t>Tree species (common)</t>
  </si>
  <si>
    <t>Tree species scientifique</t>
  </si>
  <si>
    <t>average DBH (cm/yr)</t>
  </si>
  <si>
    <t>source</t>
  </si>
  <si>
    <t>wood density (g/cm3)</t>
  </si>
  <si>
    <t>tree height (m)</t>
  </si>
  <si>
    <t>Avocado</t>
  </si>
  <si>
    <t>Persea Americana</t>
  </si>
  <si>
    <t>DBH = 11,291ln(yr) - 8,2599</t>
  </si>
  <si>
    <t>Dataset Ethiotrees</t>
  </si>
  <si>
    <r>
      <t>Fuentes-Talavera, F. J., Silva-Guzmán, J. A., Rodríguez-Anda, R., Lomelí-Ramírez, M. G., Sanjuán-Dueñas, R., &amp; Richter, H. G. (2011). Strength properties and natural durability of Avocado (Persea americana Mill.) branch wood. </t>
    </r>
    <r>
      <rPr>
        <i/>
        <sz val="13"/>
        <color rgb="FF222222"/>
        <rFont val="Arial"/>
        <family val="2"/>
      </rPr>
      <t>Madera y bosques</t>
    </r>
    <r>
      <rPr>
        <sz val="13"/>
        <color rgb="FF222222"/>
        <rFont val="Arial"/>
        <family val="2"/>
      </rPr>
      <t>, </t>
    </r>
    <r>
      <rPr>
        <i/>
        <sz val="13"/>
        <color rgb="FF222222"/>
        <rFont val="Arial"/>
        <family val="2"/>
      </rPr>
      <t>17</t>
    </r>
    <r>
      <rPr>
        <sz val="13"/>
        <color rgb="FF222222"/>
        <rFont val="Arial"/>
        <family val="2"/>
      </rPr>
      <t>(1), 37-47.</t>
    </r>
  </si>
  <si>
    <t>Dataset Ethiotrees: average height of trees older than 10y</t>
  </si>
  <si>
    <t>Orange</t>
  </si>
  <si>
    <t>Citrus sinensis</t>
  </si>
  <si>
    <t>Ortiz, C., Torregrosa, A., Ortí, E., &amp; Balasch, S. (2020). Mechanical Thinning of Mandarins with a Branch Shaker. HortTechnology, 30(6), 745-750.</t>
  </si>
  <si>
    <r>
      <t>Berti, S., Burato, P., Dionisi-Vici, P., and Allegretti, O. (2018). </t>
    </r>
    <r>
      <rPr>
        <b/>
        <sz val="16"/>
        <color rgb="FF333333"/>
        <rFont val="Arial"/>
        <family val="2"/>
      </rPr>
      <t>"Orange wood for parquet and engineered flooring use,"</t>
    </r>
    <r>
      <rPr>
        <sz val="16"/>
        <color rgb="FF333333"/>
        <rFont val="Arial"/>
        <family val="2"/>
      </rPr>
      <t> </t>
    </r>
    <r>
      <rPr>
        <i/>
        <sz val="16"/>
        <color rgb="FF333333"/>
        <rFont val="Arial"/>
        <family val="2"/>
      </rPr>
      <t>BioRes. </t>
    </r>
    <r>
      <rPr>
        <sz val="16"/>
        <color rgb="FF333333"/>
        <rFont val="Arial"/>
        <family val="2"/>
      </rPr>
      <t>13(1), 586-596.</t>
    </r>
  </si>
  <si>
    <t>retrieved from: https://prota.prota4u.org/protav8.asp?h=M1,M11,M12,M15,M16,M25,M26,M27,M34,M36,M4,M6,M7&amp;t=Citrus,sinensis,citrus&amp;p=Citrus+sinensis#Protologue</t>
  </si>
  <si>
    <t xml:space="preserve">Mandarin </t>
  </si>
  <si>
    <t>Citrus reticulata</t>
  </si>
  <si>
    <t>Based on Orange</t>
  </si>
  <si>
    <t xml:space="preserve">average orange and lemon </t>
  </si>
  <si>
    <r>
      <t xml:space="preserve">Manner, H.I., R.S. Buker, V. Easton Smith, and C.R. Elevitch. 2006. </t>
    </r>
    <r>
      <rPr>
        <i/>
        <sz val="11"/>
        <color theme="1"/>
        <rFont val="Calibri"/>
        <family val="2"/>
        <scheme val="minor"/>
      </rPr>
      <t xml:space="preserve">Citrus </t>
    </r>
    <r>
      <rPr>
        <sz val="11"/>
        <color theme="1"/>
        <rFont val="Calibri"/>
        <family val="2"/>
        <scheme val="minor"/>
      </rPr>
      <t xml:space="preserve">species (citrus), ver. 2.1. In: Elevitch, C.R. (ed.). Species Profiles for Pacific Island Agroforestry. Permanent Agriculture Resources (PAR), Hōlualoa, Hawai‘i. &lt;http://www.traditionaltree.org&gt;. </t>
    </r>
  </si>
  <si>
    <t xml:space="preserve">Lemon </t>
  </si>
  <si>
    <t xml:space="preserve">Citrus limon </t>
  </si>
  <si>
    <r>
      <t>Wambede, M. N., Akello, G., Lugumira, J. S., Barasa, B., Amwonya, D., &amp; Mulabbi, A. (2022). Carbon Sequestration of Fruit Trees under Contrasting Management Regimes. </t>
    </r>
    <r>
      <rPr>
        <i/>
        <sz val="13"/>
        <color rgb="FF222222"/>
        <rFont val="Arial"/>
        <family val="2"/>
      </rPr>
      <t>Indonesian Journal of Geography</t>
    </r>
    <r>
      <rPr>
        <sz val="13"/>
        <color rgb="FF222222"/>
        <rFont val="Arial"/>
        <family val="2"/>
      </rPr>
      <t>, </t>
    </r>
    <r>
      <rPr>
        <i/>
        <sz val="13"/>
        <color rgb="FF222222"/>
        <rFont val="Arial"/>
        <family val="2"/>
      </rPr>
      <t>54</t>
    </r>
    <r>
      <rPr>
        <sz val="13"/>
        <color rgb="FF222222"/>
        <rFont val="Arial"/>
        <family val="2"/>
      </rPr>
      <t>(3).</t>
    </r>
  </si>
  <si>
    <t>Sahin, S., Ayata, U., Bal, B. C., Esteves, B., Can, A., &amp; Sivrikaya, H. (2020). Determination of some wood properties and response to weathering of Citrus limon (L.) Burm wood.</t>
  </si>
  <si>
    <t>retreived from: https://prota.prota4u.org/protav8.asp?h=M36&amp;t=Persea&amp;p=Citrus+limon#</t>
  </si>
  <si>
    <t>Mango</t>
  </si>
  <si>
    <t>Magnifera indica</t>
  </si>
  <si>
    <t>DBH = 10,348ln(yr) - 6,693</t>
  </si>
  <si>
    <r>
      <t>Eric. (2023). Mango. </t>
    </r>
    <r>
      <rPr>
        <i/>
        <sz val="12"/>
        <color rgb="FF05103E"/>
        <rFont val="Times New Roman"/>
        <family val="1"/>
      </rPr>
      <t>The Wood Database</t>
    </r>
    <r>
      <rPr>
        <sz val="14"/>
        <color rgb="FF05103E"/>
        <rFont val="Times New Roman"/>
        <family val="1"/>
      </rPr>
      <t>. </t>
    </r>
    <r>
      <rPr>
        <sz val="12"/>
        <color rgb="FF05103E"/>
        <rFont val="Times New Roman"/>
        <family val="1"/>
      </rPr>
      <t>https://www.wood-database.com/mango/</t>
    </r>
  </si>
  <si>
    <t>Safoutier</t>
  </si>
  <si>
    <t>Dacryodes edulis</t>
  </si>
  <si>
    <t xml:space="preserve">retrieved from: https://prota.prota4u.org/protav8.asp?h=M15,M16,M19,M27,M36,M5,M7&amp;t=butter,fruit,tree&amp;p=Dacryodes+edulis#Ecology
and divided by 100y
assuming 35 years </t>
  </si>
  <si>
    <t>retrieved from: https://prota.prota4u.org/protav8.asp?h=M11,M12,M14,M25,M26,M27,M28,M34,M36,M4,M6,M7&amp;t=Dacryodes,edulis&amp;p=Dacryodes+edulis#Description</t>
  </si>
  <si>
    <t>20(-25)</t>
  </si>
  <si>
    <t>retrieved from: https://prota.prota4u.org/protav8.asp?h=M18,M19,M21,M25,M26,M27,M36,M5,M6,M7,M8,M9&amp;t=shea,butter,Shea&amp;p=Vitellaria+paradoxa#Management</t>
  </si>
  <si>
    <t>Communal garden</t>
  </si>
  <si>
    <t>Neem tree</t>
  </si>
  <si>
    <t>Azadirachta indica</t>
  </si>
  <si>
    <t>revtrieved from https://prota.prota4u.org/protav8.asp?h=M1,M11,M12,M25,M26,M27,M34,M36,M4,M7&amp;t=Azadirachta,indica,azadirachta&amp;p=Azadirachta+indica#Protologue</t>
  </si>
  <si>
    <t>retrieved from: https://prota.prota4u.org/protav8.asp?h=M1,M11,M12,M25,M26,M27,M34,M36,M4,M7&amp;t=Azadirachta,indica,azadirachta&amp;p=Azadirachta+indica#Protologue</t>
  </si>
  <si>
    <t>15(-30)</t>
  </si>
  <si>
    <t>Njansang</t>
  </si>
  <si>
    <t>Ricinodendron heudelotii</t>
  </si>
  <si>
    <t>retrieved from: https://prota.prota4u.org/protav8.asp?h=M11,M12,M14,M15,M18,M19,M23,M24,M25,M26,M27,M34,M36,M4,M6,M7,M8,M9&amp;t=Ricinodendron,heudelotii&amp;p=Ricinodendron+heudelotii#Description
retrieved from: https://africanorphancrops.org/ricinodendron-heudelotii/ 
averages  divided by 100y*</t>
  </si>
  <si>
    <t>retrieved from: https://prota.prota4u.org/protav8.asp?h=M26,M27,M36,M5&amp;t=djansang,Djansang&amp;p=Ricinodendron+heudelotii#MajorReferences</t>
  </si>
  <si>
    <t>30(-45)</t>
  </si>
  <si>
    <t>Quatre côtés (Esesè)</t>
  </si>
  <si>
    <t>Tetrapleura tetraptera</t>
  </si>
  <si>
    <t>Airimpact database</t>
  </si>
  <si>
    <t>retrieved from http://www.tropicaltimber.info/specie/akpa-tetrapleura-tetraptera/#lower-content</t>
  </si>
  <si>
    <t>20-25 m</t>
  </si>
  <si>
    <t>retrieved from: https://prota.prota4u.org/protav8.asp?h=M11,M25,M26,M27,M4&amp;t=Tetrapleura&amp;p=Tetrapleura+tetraptera#Description</t>
  </si>
  <si>
    <t>Bita Cola</t>
  </si>
  <si>
    <t>Garcinia kola</t>
  </si>
  <si>
    <t>retrieved from: https://www.ncbi.nlm.nih.gov/pmc/articles/PMC9966834/#:~:text=2.1.&amp;text=Based%20on%20means%20of%20our,8.9%20m%20in%20crown%20diameter.</t>
  </si>
  <si>
    <t>retrieved from: https://apps.worldagroforestry.org/treesnmarkets/wood/data.php?id=450</t>
  </si>
  <si>
    <t>15m</t>
  </si>
  <si>
    <t>retrieved from: https://www.cabidigitallibrary.org/doi/10.1079/cabicompendium.24872</t>
  </si>
  <si>
    <t>Moringa</t>
  </si>
  <si>
    <t>Moringa oleifera</t>
  </si>
  <si>
    <t>retrieved from: https://www.daf.qld.gov.au/__data/assets/pdf_file/0007/69262/IPA-Horseradish-Tree-Risk-Assessment.pdf</t>
  </si>
  <si>
    <t>retrieved from: https://winrock.org/moringa-oleifera-a-perfect-tree-for-home-gardens-2/</t>
  </si>
  <si>
    <t>8m</t>
  </si>
  <si>
    <t>retrieved from: https://apps.worldagroforestry.org/treedb2/speciesprofile.php?Spid=1169#:~:text=The%20soft%20and%20light%20wood,make%20small%20ropes%20and%20mats.</t>
  </si>
  <si>
    <t>Formula/Reference</t>
  </si>
  <si>
    <t>Density (g/cm3)</t>
  </si>
  <si>
    <t xml:space="preserve">literature </t>
  </si>
  <si>
    <t>DBH (cm)</t>
  </si>
  <si>
    <t>measured/literature corrected with 7% on expert judgement</t>
  </si>
  <si>
    <t>E</t>
  </si>
  <si>
    <t>retrieved from the dataset of Chave et al (2014)
coordinates: lon=11.489639; lat=6.087984</t>
  </si>
  <si>
    <t>Height (m)</t>
  </si>
  <si>
    <t>ln(H) =0.893-E+0.760 ln(D)-0.034(ln(D))^2</t>
  </si>
  <si>
    <t>AGB (kg)</t>
  </si>
  <si>
    <t>AGB=0.0673∙〖(ρ∙D^2∙H)〗^0.976</t>
  </si>
  <si>
    <t>Density (#/ha)</t>
  </si>
  <si>
    <t>judgement local team</t>
  </si>
  <si>
    <t>AGB (kgC/ha)</t>
  </si>
  <si>
    <t>AGB*tree density * 0.475</t>
  </si>
  <si>
    <t>SOC (tC/ha)</t>
  </si>
  <si>
    <t>assumption</t>
  </si>
  <si>
    <t>TOTAL AGB (tCO2/ha)</t>
  </si>
  <si>
    <t>(sum of AGB's)*3.67</t>
  </si>
  <si>
    <t>TOTAL BGB (tCO2/ha)</t>
  </si>
  <si>
    <t>BGB=0.235∙Total AGB</t>
  </si>
  <si>
    <t>TOTAL woody biomass (tCO2/ha)</t>
  </si>
  <si>
    <t>AGB + BGB</t>
  </si>
  <si>
    <t>Total Stock (tCO2/ha)</t>
  </si>
  <si>
    <t>SOC + TOTAL woody biomass</t>
  </si>
  <si>
    <t>conversion factor</t>
  </si>
  <si>
    <t>literature data</t>
  </si>
  <si>
    <t>avg measured DBH</t>
  </si>
  <si>
    <t xml:space="preserve">year </t>
  </si>
  <si>
    <t>tree species</t>
  </si>
  <si>
    <t>AGB</t>
  </si>
  <si>
    <t>SOC (tCO2/ha)</t>
  </si>
  <si>
    <t xml:space="preserve"># ha in Bankim </t>
  </si>
  <si>
    <t>Total trees/ha</t>
  </si>
  <si>
    <t>Total trees/ ha over years</t>
  </si>
  <si>
    <t>average diameter</t>
  </si>
  <si>
    <t>weighed av diam</t>
  </si>
  <si>
    <t>avocado</t>
  </si>
  <si>
    <t>orange</t>
  </si>
  <si>
    <t xml:space="preserve">lemon </t>
  </si>
  <si>
    <t>mandarine</t>
  </si>
  <si>
    <t>mango</t>
  </si>
  <si>
    <t>total C benefit (t CO2)</t>
  </si>
  <si>
    <t>risk buffer (t CO2)</t>
  </si>
  <si>
    <t>risk buffer (t CO2/ha)</t>
  </si>
  <si>
    <t>Potential PVC</t>
  </si>
  <si>
    <t>PVC/ha</t>
  </si>
  <si>
    <t>t CO2</t>
  </si>
  <si>
    <t>total trees/ha over the years</t>
  </si>
  <si>
    <t>av diam weighed for trees</t>
  </si>
  <si>
    <t>Quatre côtés</t>
  </si>
  <si>
    <t>Bita kola</t>
  </si>
  <si>
    <t>PV/ha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</si>
</sst>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3"/>
      <color rgb="FF2F5496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808080"/>
      <name val="Calibri"/>
      <family val="2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3"/>
      <color rgb="FF222222"/>
      <name val="Arial"/>
      <family val="2"/>
    </font>
    <font>
      <i/>
      <sz val="13"/>
      <color rgb="FF222222"/>
      <name val="Arial"/>
      <family val="2"/>
    </font>
    <font>
      <sz val="16"/>
      <color rgb="FF333333"/>
      <name val="Arial"/>
      <family val="2"/>
    </font>
    <font>
      <b/>
      <sz val="16"/>
      <color rgb="FF333333"/>
      <name val="Arial"/>
      <family val="2"/>
    </font>
    <font>
      <i/>
      <sz val="16"/>
      <color rgb="FF333333"/>
      <name val="Arial"/>
      <family val="2"/>
    </font>
    <font>
      <sz val="10"/>
      <color theme="1"/>
      <name val="ACaslonPro"/>
    </font>
    <font>
      <sz val="11"/>
      <color theme="1"/>
      <name val="Calibri"/>
      <family val="2"/>
      <scheme val="minor"/>
    </font>
    <font>
      <sz val="14"/>
      <color rgb="FF05103E"/>
      <name val="Times New Roman"/>
      <family val="1"/>
    </font>
    <font>
      <i/>
      <sz val="12"/>
      <color rgb="FF05103E"/>
      <name val="Times New Roman"/>
      <family val="1"/>
    </font>
    <font>
      <sz val="12"/>
      <color rgb="FF05103E"/>
      <name val="Times New Roman"/>
      <family val="1"/>
    </font>
    <font>
      <sz val="12"/>
      <name val="Calibri"/>
      <family val="2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 applyAlignment="1">
      <alignment horizontal="justify" vertical="center" wrapText="1"/>
    </xf>
    <xf numFmtId="0" fontId="5" fillId="0" borderId="0" xfId="0" applyFont="1"/>
    <xf numFmtId="0" fontId="11" fillId="0" borderId="0" xfId="0" applyFont="1"/>
    <xf numFmtId="0" fontId="0" fillId="0" borderId="2" xfId="0" applyBorder="1"/>
    <xf numFmtId="0" fontId="12" fillId="0" borderId="3" xfId="0" applyFont="1" applyBorder="1"/>
    <xf numFmtId="0" fontId="1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12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2" fillId="0" borderId="13" xfId="0" applyFont="1" applyBorder="1"/>
    <xf numFmtId="0" fontId="16" fillId="0" borderId="8" xfId="0" applyFont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justify" vertical="center" wrapText="1"/>
    </xf>
    <xf numFmtId="0" fontId="0" fillId="0" borderId="15" xfId="0" applyBorder="1"/>
    <xf numFmtId="0" fontId="0" fillId="0" borderId="18" xfId="0" applyBorder="1"/>
    <xf numFmtId="0" fontId="0" fillId="0" borderId="21" xfId="0" applyBorder="1"/>
    <xf numFmtId="0" fontId="16" fillId="0" borderId="1" xfId="0" applyFont="1" applyBorder="1" applyAlignment="1">
      <alignment horizontal="justify" vertical="center" wrapText="1"/>
    </xf>
    <xf numFmtId="0" fontId="0" fillId="0" borderId="22" xfId="0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0" fillId="5" borderId="0" xfId="0" applyFill="1"/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justify" vertical="center" wrapText="1"/>
    </xf>
    <xf numFmtId="0" fontId="16" fillId="0" borderId="19" xfId="0" applyFont="1" applyBorder="1" applyAlignment="1">
      <alignment horizontal="justify" vertical="center" wrapText="1"/>
    </xf>
    <xf numFmtId="0" fontId="16" fillId="2" borderId="10" xfId="0" applyFont="1" applyFill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9" fillId="4" borderId="25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8" fillId="2" borderId="0" xfId="0" applyFont="1" applyFill="1"/>
    <xf numFmtId="0" fontId="19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6" borderId="0" xfId="0" applyFill="1"/>
    <xf numFmtId="0" fontId="0" fillId="7" borderId="0" xfId="0" applyFill="1"/>
    <xf numFmtId="0" fontId="0" fillId="0" borderId="0" xfId="0" quotePrefix="1"/>
    <xf numFmtId="0" fontId="16" fillId="0" borderId="0" xfId="0" applyFont="1" applyAlignment="1">
      <alignment horizontal="justify" vertical="center" wrapText="1"/>
    </xf>
    <xf numFmtId="0" fontId="0" fillId="2" borderId="26" xfId="0" applyFill="1" applyBorder="1"/>
    <xf numFmtId="0" fontId="18" fillId="0" borderId="0" xfId="0" applyFont="1"/>
    <xf numFmtId="0" fontId="4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af.qld.gov.au/__data/assets/pdf_file/0007/69262/IPA-Horseradish-Tree-Risk-Assessment.pdf" TargetMode="External"/><Relationship Id="rId1" Type="http://schemas.openxmlformats.org/officeDocument/2006/relationships/hyperlink" Target="https://doi.org/10.21273/HORTTECH04451-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DEF1-2911-624B-8AF7-5B5CC12EEC39}">
  <dimension ref="A1:H20"/>
  <sheetViews>
    <sheetView zoomScale="167" workbookViewId="0">
      <selection activeCell="A13" sqref="A13:A17"/>
    </sheetView>
  </sheetViews>
  <sheetFormatPr defaultColWidth="11" defaultRowHeight="15.95"/>
  <cols>
    <col min="1" max="1" width="23.5" customWidth="1"/>
    <col min="2" max="2" width="31.625" customWidth="1"/>
    <col min="3" max="3" width="24" bestFit="1" customWidth="1"/>
    <col min="4" max="4" width="16.5" bestFit="1" customWidth="1"/>
    <col min="5" max="5" width="22.5" customWidth="1"/>
    <col min="6" max="6" width="7.375" bestFit="1" customWidth="1"/>
    <col min="7" max="7" width="15.375" bestFit="1" customWidth="1"/>
  </cols>
  <sheetData>
    <row r="1" spans="1:8" ht="21.95" thickBot="1">
      <c r="A1" s="51" t="s">
        <v>0</v>
      </c>
      <c r="B1" s="51"/>
      <c r="C1" s="51"/>
      <c r="D1" s="51"/>
      <c r="E1" s="51"/>
      <c r="F1" s="51"/>
      <c r="G1" s="51"/>
      <c r="H1" s="51"/>
    </row>
    <row r="2" spans="1:8" s="4" customFormat="1" ht="20.100000000000001" thickBot="1">
      <c r="A2" s="31" t="s">
        <v>1</v>
      </c>
      <c r="B2" s="32" t="s">
        <v>2</v>
      </c>
      <c r="C2" s="27" t="s">
        <v>3</v>
      </c>
      <c r="D2" s="28" t="s">
        <v>4</v>
      </c>
      <c r="E2" s="27" t="s">
        <v>5</v>
      </c>
      <c r="F2" s="28" t="s">
        <v>4</v>
      </c>
      <c r="G2" s="27" t="s">
        <v>6</v>
      </c>
      <c r="H2" s="28" t="s">
        <v>4</v>
      </c>
    </row>
    <row r="3" spans="1:8" ht="17.100000000000001">
      <c r="A3" s="33" t="s">
        <v>7</v>
      </c>
      <c r="B3" s="34" t="s">
        <v>8</v>
      </c>
      <c r="C3" s="26" t="s">
        <v>9</v>
      </c>
      <c r="D3" s="7" t="s">
        <v>10</v>
      </c>
      <c r="E3" s="15">
        <v>0.54</v>
      </c>
      <c r="F3" s="11" t="s">
        <v>11</v>
      </c>
      <c r="G3" s="6">
        <v>6.45</v>
      </c>
      <c r="H3" s="7" t="s">
        <v>12</v>
      </c>
    </row>
    <row r="4" spans="1:8" ht="20.100000000000001">
      <c r="A4" s="35" t="s">
        <v>13</v>
      </c>
      <c r="B4" s="36" t="s">
        <v>14</v>
      </c>
      <c r="C4" s="22">
        <v>1.3</v>
      </c>
      <c r="D4" s="14" t="s">
        <v>15</v>
      </c>
      <c r="E4" s="13">
        <v>0.82699999999999996</v>
      </c>
      <c r="F4" s="16" t="s">
        <v>16</v>
      </c>
      <c r="G4" s="18">
        <v>10</v>
      </c>
      <c r="H4" s="19" t="s">
        <v>17</v>
      </c>
    </row>
    <row r="5" spans="1:8" ht="17.100000000000001">
      <c r="A5" s="35" t="s">
        <v>18</v>
      </c>
      <c r="B5" s="36" t="s">
        <v>19</v>
      </c>
      <c r="C5" s="22">
        <v>1.3</v>
      </c>
      <c r="D5" s="14" t="s">
        <v>20</v>
      </c>
      <c r="E5" s="13">
        <v>0.83</v>
      </c>
      <c r="F5" s="12" t="s">
        <v>21</v>
      </c>
      <c r="G5" s="13">
        <v>9</v>
      </c>
      <c r="H5" s="14" t="s">
        <v>22</v>
      </c>
    </row>
    <row r="6" spans="1:8" ht="17.100000000000001">
      <c r="A6" s="35" t="s">
        <v>23</v>
      </c>
      <c r="B6" s="36" t="s">
        <v>24</v>
      </c>
      <c r="C6" s="22">
        <v>0.83</v>
      </c>
      <c r="D6" s="8" t="s">
        <v>25</v>
      </c>
      <c r="E6" s="13">
        <v>0.83399999999999996</v>
      </c>
      <c r="F6" s="17" t="s">
        <v>26</v>
      </c>
      <c r="G6" s="13">
        <v>6</v>
      </c>
      <c r="H6" s="14" t="s">
        <v>27</v>
      </c>
    </row>
    <row r="7" spans="1:8" ht="18">
      <c r="A7" s="35" t="s">
        <v>28</v>
      </c>
      <c r="B7" s="36" t="s">
        <v>29</v>
      </c>
      <c r="C7" s="22" t="s">
        <v>30</v>
      </c>
      <c r="D7" s="14" t="s">
        <v>10</v>
      </c>
      <c r="E7" s="13">
        <v>0.67500000000000004</v>
      </c>
      <c r="F7" s="16" t="s">
        <v>31</v>
      </c>
      <c r="G7" s="18">
        <v>5.36</v>
      </c>
      <c r="H7" s="8" t="s">
        <v>12</v>
      </c>
    </row>
    <row r="8" spans="1:8" ht="20.100000000000001" customHeight="1">
      <c r="A8" s="21" t="s">
        <v>32</v>
      </c>
      <c r="B8" s="25" t="s">
        <v>33</v>
      </c>
      <c r="C8" s="13">
        <v>1.6</v>
      </c>
      <c r="D8" s="14" t="s">
        <v>34</v>
      </c>
      <c r="E8" s="13">
        <v>0.6</v>
      </c>
      <c r="F8" s="16" t="s">
        <v>35</v>
      </c>
      <c r="G8" s="22" t="s">
        <v>36</v>
      </c>
      <c r="H8" s="16" t="s">
        <v>37</v>
      </c>
    </row>
    <row r="9" spans="1:8">
      <c r="B9" s="3"/>
      <c r="H9" s="5"/>
    </row>
    <row r="10" spans="1:8">
      <c r="B10" s="48"/>
    </row>
    <row r="11" spans="1:8" ht="21.95" thickBot="1">
      <c r="A11" s="51" t="s">
        <v>38</v>
      </c>
      <c r="B11" s="51"/>
      <c r="C11" s="51"/>
      <c r="D11" s="51"/>
      <c r="E11" s="51"/>
      <c r="F11" s="51"/>
      <c r="G11" s="51"/>
      <c r="H11" s="51"/>
    </row>
    <row r="12" spans="1:8" ht="20.100000000000001" thickBot="1">
      <c r="A12" s="27" t="s">
        <v>1</v>
      </c>
      <c r="B12" s="28" t="s">
        <v>2</v>
      </c>
      <c r="C12" s="27" t="s">
        <v>3</v>
      </c>
      <c r="D12" s="28" t="s">
        <v>4</v>
      </c>
      <c r="E12" s="27" t="s">
        <v>5</v>
      </c>
      <c r="F12" s="28" t="s">
        <v>4</v>
      </c>
      <c r="G12" s="29" t="s">
        <v>6</v>
      </c>
      <c r="H12" s="28" t="s">
        <v>4</v>
      </c>
    </row>
    <row r="13" spans="1:8" ht="17.100000000000001">
      <c r="A13" s="21" t="s">
        <v>39</v>
      </c>
      <c r="B13" s="25" t="s">
        <v>40</v>
      </c>
      <c r="C13" s="13">
        <v>1</v>
      </c>
      <c r="D13" s="7" t="s">
        <v>41</v>
      </c>
      <c r="E13" s="13">
        <v>0.82499999999999996</v>
      </c>
      <c r="F13" s="16" t="s">
        <v>42</v>
      </c>
      <c r="G13" s="22" t="s">
        <v>43</v>
      </c>
      <c r="H13" s="16" t="s">
        <v>42</v>
      </c>
    </row>
    <row r="14" spans="1:8" ht="30.95" customHeight="1">
      <c r="A14" s="21" t="s">
        <v>44</v>
      </c>
      <c r="B14" s="20" t="s">
        <v>45</v>
      </c>
      <c r="C14" s="22">
        <v>1.18</v>
      </c>
      <c r="D14" s="14" t="s">
        <v>46</v>
      </c>
      <c r="E14" s="13">
        <v>0.215</v>
      </c>
      <c r="F14" s="22" t="s">
        <v>47</v>
      </c>
      <c r="G14" s="13" t="s">
        <v>48</v>
      </c>
      <c r="H14" s="16" t="s">
        <v>47</v>
      </c>
    </row>
    <row r="15" spans="1:8" ht="18" customHeight="1">
      <c r="A15" s="49" t="s">
        <v>49</v>
      </c>
      <c r="B15" s="20" t="s">
        <v>50</v>
      </c>
      <c r="C15" s="22">
        <f>30/30</f>
        <v>1</v>
      </c>
      <c r="D15" s="14" t="s">
        <v>51</v>
      </c>
      <c r="E15" s="13">
        <v>0.56000000000000005</v>
      </c>
      <c r="F15" s="22" t="s">
        <v>52</v>
      </c>
      <c r="G15" s="13" t="s">
        <v>53</v>
      </c>
      <c r="H15" s="16" t="s">
        <v>54</v>
      </c>
    </row>
    <row r="16" spans="1:8" ht="17.100000000000001">
      <c r="A16" s="21" t="s">
        <v>55</v>
      </c>
      <c r="B16" s="20" t="s">
        <v>56</v>
      </c>
      <c r="C16" s="22">
        <f>39.3/51</f>
        <v>0.77058823529411757</v>
      </c>
      <c r="D16" s="14" t="s">
        <v>57</v>
      </c>
      <c r="E16" s="13">
        <v>0.65</v>
      </c>
      <c r="F16" s="22" t="s">
        <v>58</v>
      </c>
      <c r="G16" s="13" t="s">
        <v>59</v>
      </c>
      <c r="H16" s="16" t="s">
        <v>60</v>
      </c>
    </row>
    <row r="17" spans="1:8" ht="30.95" customHeight="1">
      <c r="A17" s="21" t="s">
        <v>61</v>
      </c>
      <c r="B17" s="20" t="s">
        <v>62</v>
      </c>
      <c r="C17" s="22">
        <f>45/30</f>
        <v>1.5</v>
      </c>
      <c r="D17" s="14" t="s">
        <v>63</v>
      </c>
      <c r="E17" s="13">
        <f>(0.5+0.7)/2</f>
        <v>0.6</v>
      </c>
      <c r="F17" s="22" t="s">
        <v>64</v>
      </c>
      <c r="G17" s="13" t="s">
        <v>65</v>
      </c>
      <c r="H17" s="16" t="s">
        <v>66</v>
      </c>
    </row>
    <row r="18" spans="1:8" ht="17.100000000000001" thickBot="1">
      <c r="A18" s="23"/>
      <c r="B18" s="37"/>
      <c r="C18" s="24"/>
      <c r="D18" s="10"/>
      <c r="E18" s="9"/>
      <c r="F18" s="24"/>
      <c r="G18" s="9"/>
      <c r="H18" s="10"/>
    </row>
    <row r="20" spans="1:8">
      <c r="A20" s="2"/>
    </row>
  </sheetData>
  <mergeCells count="2">
    <mergeCell ref="A11:H11"/>
    <mergeCell ref="A1:H1"/>
  </mergeCells>
  <hyperlinks>
    <hyperlink ref="D4" r:id="rId1" display="https://doi.org/10.21273/HORTTECH04451-20" xr:uid="{B203A5D4-F07B-074C-8520-EB8BCC708284}"/>
    <hyperlink ref="D17" r:id="rId2" display="https://www.daf.qld.gov.au/__data/assets/pdf_file/0007/69262/IPA-Horseradish-Tree-Risk-Assessment.pdf" xr:uid="{CC4F3A53-F791-B84F-B72E-39E64FA762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DBF4-716A-6049-B52B-61525DBE5497}">
  <dimension ref="A1:B13"/>
  <sheetViews>
    <sheetView workbookViewId="0">
      <selection activeCell="B4" sqref="B4"/>
    </sheetView>
  </sheetViews>
  <sheetFormatPr defaultColWidth="11" defaultRowHeight="15.95"/>
  <cols>
    <col min="1" max="1" width="16.875" customWidth="1"/>
    <col min="2" max="2" width="42.875" customWidth="1"/>
  </cols>
  <sheetData>
    <row r="1" spans="1:2">
      <c r="B1" t="s">
        <v>67</v>
      </c>
    </row>
    <row r="2" spans="1:2" ht="20.100000000000001">
      <c r="A2" s="42" t="s">
        <v>68</v>
      </c>
      <c r="B2" t="s">
        <v>69</v>
      </c>
    </row>
    <row r="3" spans="1:2" ht="20.100000000000001">
      <c r="A3" s="42" t="s">
        <v>70</v>
      </c>
      <c r="B3" t="s">
        <v>71</v>
      </c>
    </row>
    <row r="4" spans="1:2" ht="33" customHeight="1">
      <c r="A4" s="42" t="s">
        <v>72</v>
      </c>
      <c r="B4" s="43" t="s">
        <v>73</v>
      </c>
    </row>
    <row r="5" spans="1:2" ht="20.100000000000001">
      <c r="A5" s="42" t="s">
        <v>74</v>
      </c>
      <c r="B5" t="s">
        <v>75</v>
      </c>
    </row>
    <row r="6" spans="1:2" ht="20.100000000000001">
      <c r="A6" s="42" t="s">
        <v>76</v>
      </c>
      <c r="B6" t="s">
        <v>77</v>
      </c>
    </row>
    <row r="7" spans="1:2" ht="20.100000000000001">
      <c r="A7" s="42" t="s">
        <v>78</v>
      </c>
      <c r="B7" t="s">
        <v>79</v>
      </c>
    </row>
    <row r="8" spans="1:2" ht="20.100000000000001">
      <c r="A8" s="42" t="s">
        <v>80</v>
      </c>
      <c r="B8" t="s">
        <v>81</v>
      </c>
    </row>
    <row r="9" spans="1:2" ht="20.100000000000001">
      <c r="A9" s="42" t="s">
        <v>82</v>
      </c>
      <c r="B9" t="s">
        <v>83</v>
      </c>
    </row>
    <row r="10" spans="1:2" ht="36" customHeight="1">
      <c r="A10" s="42" t="s">
        <v>84</v>
      </c>
      <c r="B10" t="s">
        <v>85</v>
      </c>
    </row>
    <row r="11" spans="1:2" ht="44.1" customHeight="1">
      <c r="A11" s="42" t="s">
        <v>86</v>
      </c>
      <c r="B11" t="s">
        <v>87</v>
      </c>
    </row>
    <row r="12" spans="1:2" ht="51" customHeight="1">
      <c r="A12" s="42" t="s">
        <v>88</v>
      </c>
      <c r="B12" t="s">
        <v>89</v>
      </c>
    </row>
    <row r="13" spans="1:2" ht="42" customHeight="1">
      <c r="A13" s="42" t="s">
        <v>90</v>
      </c>
      <c r="B1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FC0B-F7C1-F546-BBF7-DF3E4126B461}">
  <dimension ref="A5:BJ39"/>
  <sheetViews>
    <sheetView topLeftCell="A3" zoomScale="110" zoomScaleNormal="110" workbookViewId="0">
      <pane xSplit="1" topLeftCell="AX1" activePane="topRight" state="frozen"/>
      <selection pane="topRight" activeCell="BE10" sqref="BE10"/>
    </sheetView>
  </sheetViews>
  <sheetFormatPr defaultColWidth="11" defaultRowHeight="15.95"/>
  <cols>
    <col min="1" max="1" width="21.5" customWidth="1"/>
    <col min="2" max="2" width="12.875" bestFit="1" customWidth="1"/>
    <col min="3" max="3" width="16.875" bestFit="1" customWidth="1"/>
    <col min="4" max="4" width="12.125" bestFit="1" customWidth="1"/>
    <col min="5" max="5" width="15.125" bestFit="1" customWidth="1"/>
    <col min="6" max="6" width="12.125" bestFit="1" customWidth="1"/>
    <col min="7" max="7" width="15.125" bestFit="1" customWidth="1"/>
    <col min="8" max="8" width="14.125" bestFit="1" customWidth="1"/>
    <col min="10" max="10" width="12.875" bestFit="1" customWidth="1"/>
    <col min="11" max="11" width="16.875" bestFit="1" customWidth="1"/>
    <col min="12" max="12" width="10.125" bestFit="1" customWidth="1"/>
    <col min="13" max="14" width="12.125" bestFit="1" customWidth="1"/>
    <col min="15" max="15" width="15.125" bestFit="1" customWidth="1"/>
    <col min="16" max="16" width="14.125" bestFit="1" customWidth="1"/>
    <col min="18" max="18" width="12.875" bestFit="1" customWidth="1"/>
    <col min="19" max="19" width="16.875" bestFit="1" customWidth="1"/>
    <col min="20" max="20" width="10.125" bestFit="1" customWidth="1"/>
    <col min="21" max="22" width="12.125" bestFit="1" customWidth="1"/>
    <col min="23" max="23" width="15.125" bestFit="1" customWidth="1"/>
    <col min="24" max="24" width="14.125" bestFit="1" customWidth="1"/>
    <col min="26" max="26" width="12.875" bestFit="1" customWidth="1"/>
    <col min="27" max="27" width="16.875" bestFit="1" customWidth="1"/>
    <col min="28" max="28" width="10.125" bestFit="1" customWidth="1"/>
    <col min="29" max="30" width="12.125" bestFit="1" customWidth="1"/>
    <col min="31" max="31" width="15.125" bestFit="1" customWidth="1"/>
    <col min="32" max="32" width="14.125" bestFit="1" customWidth="1"/>
    <col min="34" max="34" width="12.875" bestFit="1" customWidth="1"/>
    <col min="35" max="35" width="16.875" bestFit="1" customWidth="1"/>
    <col min="36" max="38" width="12.125" bestFit="1" customWidth="1"/>
    <col min="39" max="39" width="15.125" bestFit="1" customWidth="1"/>
    <col min="40" max="40" width="14.125" bestFit="1" customWidth="1"/>
    <col min="43" max="43" width="12.375" bestFit="1" customWidth="1"/>
    <col min="44" max="44" width="10.625" customWidth="1"/>
    <col min="45" max="45" width="11.5" customWidth="1"/>
    <col min="46" max="46" width="10.125" customWidth="1"/>
    <col min="47" max="47" width="11.5" customWidth="1"/>
    <col min="48" max="48" width="13.375" customWidth="1"/>
    <col min="50" max="50" width="22.375" bestFit="1" customWidth="1"/>
    <col min="52" max="52" width="15.125" bestFit="1" customWidth="1"/>
    <col min="54" max="54" width="18.5" bestFit="1" customWidth="1"/>
  </cols>
  <sheetData>
    <row r="5" spans="1:62">
      <c r="B5" s="44" t="s">
        <v>72</v>
      </c>
      <c r="C5">
        <v>0.1595973</v>
      </c>
      <c r="E5" t="s">
        <v>92</v>
      </c>
      <c r="F5">
        <v>0.47499999999999998</v>
      </c>
      <c r="H5" s="45" t="s">
        <v>93</v>
      </c>
      <c r="I5" s="46" t="s">
        <v>94</v>
      </c>
    </row>
    <row r="6" spans="1:62" s="42" customFormat="1" ht="80.099999999999994">
      <c r="A6" s="42" t="s">
        <v>95</v>
      </c>
      <c r="B6" s="42" t="s">
        <v>96</v>
      </c>
      <c r="C6" s="42" t="s">
        <v>68</v>
      </c>
      <c r="D6" s="42" t="s">
        <v>70</v>
      </c>
      <c r="E6" s="42" t="s">
        <v>74</v>
      </c>
      <c r="F6" s="42" t="s">
        <v>76</v>
      </c>
      <c r="G6" s="42" t="s">
        <v>78</v>
      </c>
      <c r="H6" s="42" t="s">
        <v>80</v>
      </c>
      <c r="J6" s="42" t="s">
        <v>96</v>
      </c>
      <c r="K6" s="42" t="s">
        <v>68</v>
      </c>
      <c r="L6" s="42" t="s">
        <v>70</v>
      </c>
      <c r="M6" s="42" t="s">
        <v>74</v>
      </c>
      <c r="N6" s="42" t="s">
        <v>97</v>
      </c>
      <c r="O6" s="42" t="s">
        <v>78</v>
      </c>
      <c r="P6" s="42" t="s">
        <v>80</v>
      </c>
      <c r="R6" s="42" t="s">
        <v>96</v>
      </c>
      <c r="S6" s="42" t="s">
        <v>68</v>
      </c>
      <c r="T6" s="42" t="s">
        <v>70</v>
      </c>
      <c r="U6" s="42" t="s">
        <v>74</v>
      </c>
      <c r="V6" s="42" t="s">
        <v>97</v>
      </c>
      <c r="W6" s="42" t="s">
        <v>78</v>
      </c>
      <c r="X6" s="42" t="s">
        <v>80</v>
      </c>
      <c r="Z6" s="42" t="s">
        <v>96</v>
      </c>
      <c r="AA6" s="42" t="s">
        <v>68</v>
      </c>
      <c r="AB6" s="42" t="s">
        <v>70</v>
      </c>
      <c r="AC6" s="42" t="s">
        <v>74</v>
      </c>
      <c r="AD6" s="42" t="s">
        <v>97</v>
      </c>
      <c r="AE6" s="42" t="s">
        <v>78</v>
      </c>
      <c r="AF6" s="42" t="s">
        <v>80</v>
      </c>
      <c r="AH6" s="42" t="s">
        <v>96</v>
      </c>
      <c r="AI6" s="42" t="s">
        <v>68</v>
      </c>
      <c r="AJ6" s="42" t="s">
        <v>70</v>
      </c>
      <c r="AK6" s="42" t="s">
        <v>74</v>
      </c>
      <c r="AL6" s="42" t="s">
        <v>97</v>
      </c>
      <c r="AM6" s="42" t="s">
        <v>78</v>
      </c>
      <c r="AN6" s="42" t="s">
        <v>80</v>
      </c>
      <c r="AP6" s="42" t="s">
        <v>96</v>
      </c>
      <c r="AQ6" s="42" t="s">
        <v>68</v>
      </c>
      <c r="AR6" s="42" t="s">
        <v>70</v>
      </c>
      <c r="AS6" s="42" t="s">
        <v>74</v>
      </c>
      <c r="AT6" s="42" t="s">
        <v>97</v>
      </c>
      <c r="AU6" s="42" t="s">
        <v>78</v>
      </c>
      <c r="AV6" s="42" t="s">
        <v>80</v>
      </c>
      <c r="AX6" s="42" t="s">
        <v>82</v>
      </c>
      <c r="AY6" s="42" t="s">
        <v>98</v>
      </c>
      <c r="AZ6" s="42" t="s">
        <v>84</v>
      </c>
      <c r="BA6" s="42" t="s">
        <v>86</v>
      </c>
      <c r="BB6" s="42" t="s">
        <v>88</v>
      </c>
      <c r="BC6" s="42" t="s">
        <v>90</v>
      </c>
      <c r="BE6" s="42" t="s">
        <v>99</v>
      </c>
      <c r="BG6" s="42" t="s">
        <v>100</v>
      </c>
      <c r="BH6" s="42" t="s">
        <v>101</v>
      </c>
      <c r="BI6" s="42" t="s">
        <v>102</v>
      </c>
      <c r="BJ6" s="42" t="s">
        <v>103</v>
      </c>
    </row>
    <row r="7" spans="1:62">
      <c r="A7" s="39">
        <v>0</v>
      </c>
      <c r="B7" s="40" t="s">
        <v>104</v>
      </c>
      <c r="C7">
        <v>0.54</v>
      </c>
      <c r="D7" s="45">
        <f>A7*1.3*0.93</f>
        <v>0</v>
      </c>
      <c r="E7">
        <v>0</v>
      </c>
      <c r="F7">
        <f>0.0673*(C7*D7^2*E7)^0.976</f>
        <v>0</v>
      </c>
      <c r="G7">
        <v>60</v>
      </c>
      <c r="H7">
        <f>F7*G7*$F$5</f>
        <v>0</v>
      </c>
      <c r="J7" s="40" t="s">
        <v>105</v>
      </c>
      <c r="K7">
        <v>0.82699999999999996</v>
      </c>
      <c r="L7" s="46">
        <f>A7*1.2*0.93</f>
        <v>0</v>
      </c>
      <c r="M7">
        <f>IF(50.453*(1-EXP(-0.047*L7^(0.812)))&gt;10, 10, 50.453*(1-EXP(-0.047*L7^(0.812))))</f>
        <v>0</v>
      </c>
      <c r="N7">
        <f>0.0673*(K7*L7^2*M7)^0.976</f>
        <v>0</v>
      </c>
      <c r="O7">
        <v>60</v>
      </c>
      <c r="P7">
        <f>N7*O7*$F$5</f>
        <v>0</v>
      </c>
      <c r="R7" s="40" t="s">
        <v>106</v>
      </c>
      <c r="S7">
        <v>0.83399999999999996</v>
      </c>
      <c r="T7" s="45">
        <f>$A7*0.83*0.93</f>
        <v>0</v>
      </c>
      <c r="U7">
        <f>IF(50.453*(1-EXP(-0.047*T7^(0.812)))&gt;8, 8, 50.453*(1-EXP(-0.047*T7^(0.812))))</f>
        <v>0</v>
      </c>
      <c r="V7">
        <f>0.0673*(S7*T7^2*U7)^0.976</f>
        <v>0</v>
      </c>
      <c r="W7">
        <v>60</v>
      </c>
      <c r="X7">
        <f>V7*W7*$F$5</f>
        <v>0</v>
      </c>
      <c r="Z7" s="40" t="s">
        <v>107</v>
      </c>
      <c r="AA7">
        <v>0.83</v>
      </c>
      <c r="AB7" s="46">
        <f>A7*0.96*0.93</f>
        <v>0</v>
      </c>
      <c r="AC7">
        <f>IF(50.453*(1-EXP(-0.047*AB7^(0.812)))&gt;4, 4, 50.453*(1-EXP(-0.047*AB7^(0.812))))</f>
        <v>0</v>
      </c>
      <c r="AD7">
        <f>0.0673*(AA7*AB7^2*AC7)^0.976</f>
        <v>0</v>
      </c>
      <c r="AE7">
        <v>60</v>
      </c>
      <c r="AF7">
        <f>AD7*AE7*$F$5</f>
        <v>0</v>
      </c>
      <c r="AH7" s="40" t="s">
        <v>108</v>
      </c>
      <c r="AI7">
        <v>0.67500000000000004</v>
      </c>
      <c r="AJ7" s="45">
        <f>0*0.93</f>
        <v>0</v>
      </c>
      <c r="AK7">
        <f>IF(50.453*(1-EXP(-0.047*AJ7^(0.812)))&gt;25, 25, 50.453*(1-EXP(-0.047*AJ7^(0.812))))</f>
        <v>0</v>
      </c>
      <c r="AL7">
        <f>0.0673*(AI7*AJ7^2*AK7)^0.976</f>
        <v>0</v>
      </c>
      <c r="AM7">
        <v>60</v>
      </c>
      <c r="AN7">
        <f>AL7*AM7*$F$5</f>
        <v>0</v>
      </c>
      <c r="AP7" s="41" t="s">
        <v>32</v>
      </c>
      <c r="AQ7">
        <v>0.6</v>
      </c>
      <c r="AR7" s="46">
        <f>$A7*1.26*0.93</f>
        <v>0</v>
      </c>
      <c r="AS7">
        <v>0</v>
      </c>
      <c r="AT7">
        <f>0.0673*(AQ7*AR7^2*AS7)^0.976</f>
        <v>0</v>
      </c>
      <c r="AU7">
        <v>60</v>
      </c>
      <c r="AV7">
        <f>AT7*AU7*$F$5</f>
        <v>0</v>
      </c>
      <c r="AX7">
        <v>0</v>
      </c>
      <c r="AY7">
        <f>AX7*3.67</f>
        <v>0</v>
      </c>
      <c r="AZ7">
        <f>SUM(H7,P7,X7,AF7,AN7,AV7)*3.67/1000</f>
        <v>0</v>
      </c>
      <c r="BA7">
        <f>AZ7*0.235</f>
        <v>0</v>
      </c>
      <c r="BB7">
        <f>AZ7+BA7</f>
        <v>0</v>
      </c>
      <c r="BC7">
        <f>BB7+AY7</f>
        <v>0</v>
      </c>
      <c r="BE7">
        <v>9.77</v>
      </c>
      <c r="BG7">
        <f>SUM(AM37,AE37,W37,O37,G37,AU37)</f>
        <v>186.77686980258733</v>
      </c>
      <c r="BH7">
        <f>SUM(G7,O7,W7,AE7,AM7,AU7)</f>
        <v>360</v>
      </c>
      <c r="BI7">
        <f>AVERAGE(D7,L7,T7,AB7,AJ7,AR7)</f>
        <v>0</v>
      </c>
      <c r="BJ7">
        <f>SUM(D7*G7,L7*O7,T7*W7,AB7*AE7,AJ7*AM7,AR7*AU7)/BH7</f>
        <v>0</v>
      </c>
    </row>
    <row r="8" spans="1:62">
      <c r="A8" s="39">
        <v>1</v>
      </c>
      <c r="B8" s="40" t="s">
        <v>104</v>
      </c>
      <c r="C8">
        <v>0.54</v>
      </c>
      <c r="D8" s="45">
        <f>A8*1.3*0.93</f>
        <v>1.2090000000000001</v>
      </c>
      <c r="E8">
        <f>IF(EXP(0.893-$C$5+0.76*LN(D8)-0.034*(LN(D8))^2)&gt;20, 20, EXP(0.893-$C$5+0.76*LN(D8)-0.034*(LN(D8))^2))</f>
        <v>2.4022867111557256</v>
      </c>
      <c r="F8">
        <f t="shared" ref="F8:F37" si="0">0.0673*(C8*D8^2*E8)^0.976</f>
        <v>0.12566587393184619</v>
      </c>
      <c r="G8">
        <f>G7*0.6</f>
        <v>36</v>
      </c>
      <c r="H8">
        <f t="shared" ref="H8:H37" si="1">F8*G8*$F$5</f>
        <v>2.1488864442345696</v>
      </c>
      <c r="J8" s="40" t="s">
        <v>105</v>
      </c>
      <c r="K8">
        <v>0.82699999999999996</v>
      </c>
      <c r="L8" s="46">
        <f t="shared" ref="L8:L37" si="2">A8*1.2*0.93</f>
        <v>1.1160000000000001</v>
      </c>
      <c r="M8">
        <f>IF(EXP(0.893-$C$5+0.76*LN(L8)-0.034*(LN(L8))^2)&gt;10, 10, EXP(0.893-$C$5+0.76*LN(L8)-0.034*(LN(L8))^2))</f>
        <v>2.2623493710319655</v>
      </c>
      <c r="N8">
        <f t="shared" ref="N8:N37" si="3">0.0673*(K8*L8^2*M8)^0.976</f>
        <v>0.15367074276443529</v>
      </c>
      <c r="O8">
        <f>O7*0.6</f>
        <v>36</v>
      </c>
      <c r="P8">
        <f t="shared" ref="P8:P37" si="4">N8*O8*$F$5</f>
        <v>2.6277697012718435</v>
      </c>
      <c r="R8" s="40" t="s">
        <v>106</v>
      </c>
      <c r="S8">
        <v>0.83399999999999996</v>
      </c>
      <c r="T8" s="45">
        <f t="shared" ref="T8:T37" si="5">$A8*0.83*0.93</f>
        <v>0.77190000000000003</v>
      </c>
      <c r="U8">
        <f>IF(EXP(0.893-$C$5+0.76*LN(T8)-0.034*(LN(T8))^2)&gt;8, 8, EXP(0.893-$C$5+0.76*LN(T8)-0.034*(LN(T8))^2))</f>
        <v>1.7063549651720271</v>
      </c>
      <c r="V8">
        <f t="shared" ref="V8:V37" si="6">0.0673*(S8*T8^2*U8)^0.976</f>
        <v>5.7291737964588536E-2</v>
      </c>
      <c r="W8">
        <f>W7*0.6</f>
        <v>36</v>
      </c>
      <c r="X8">
        <f>V8*W8*$F$5</f>
        <v>0.97968871919446399</v>
      </c>
      <c r="Z8" s="40" t="s">
        <v>107</v>
      </c>
      <c r="AA8">
        <v>0.83</v>
      </c>
      <c r="AB8" s="46">
        <f t="shared" ref="AB8:AB37" si="7">A8*0.96*0.93</f>
        <v>0.89280000000000004</v>
      </c>
      <c r="AC8">
        <f>IF(EXP(0.893-$C$5+0.76*LN(AB8)-0.034*(LN(AB8))^2)&gt;4, 4, EXP(0.893-$C$5+0.76*LN(AB8)-0.034*(LN(AB8))^2))</f>
        <v>1.9093962430220195</v>
      </c>
      <c r="AD8">
        <f t="shared" ref="AD8:AD37" si="8">0.0673*(AA8*AB8^2*AC8)^0.976</f>
        <v>8.4539953190434974E-2</v>
      </c>
      <c r="AE8">
        <f>AE7*0.6</f>
        <v>36</v>
      </c>
      <c r="AF8">
        <f t="shared" ref="AF8:AF37" si="9">AD8*AE8*$F$5</f>
        <v>1.445633199556438</v>
      </c>
      <c r="AH8" s="40" t="s">
        <v>108</v>
      </c>
      <c r="AI8">
        <v>0.67500000000000004</v>
      </c>
      <c r="AJ8" s="45">
        <f>(AJ9/2)*0.93</f>
        <v>0.20744065371661924</v>
      </c>
      <c r="AK8">
        <f>IF(EXP(0.893-$C$5+0.76*LN(AJ8)-0.034*(LN(AJ8))^2)&gt;25, 25, EXP(0.893-$C$5+0.76*LN(AJ8)-0.034*(LN(AJ8))^2))</f>
        <v>0.57918898961833309</v>
      </c>
      <c r="AL8">
        <f t="shared" ref="AL8:AL37" si="10">0.0673*(AI8*AJ8^2*AK8)^0.976</f>
        <v>1.248834809528185E-3</v>
      </c>
      <c r="AM8">
        <f>AM7*0.6</f>
        <v>36</v>
      </c>
      <c r="AN8">
        <f t="shared" ref="AN8:AN37" si="11">AL8*AM8*$F$5</f>
        <v>2.1355075242931964E-2</v>
      </c>
      <c r="AP8" s="41" t="s">
        <v>32</v>
      </c>
      <c r="AQ8">
        <v>0.6</v>
      </c>
      <c r="AR8" s="46">
        <f t="shared" ref="AR8:AR37" si="12">$A8*1.26*0.93</f>
        <v>1.1718000000000002</v>
      </c>
      <c r="AS8">
        <f>IF(EXP(0.893-$C$5+0.76*LN(AR8)-0.034*(LN(AR8))^2)&gt;22.5, 22.5, EXP(0.893-$C$5+0.76*LN(AR8)-0.034*(LN(AR8))^2))</f>
        <v>2.3467685168324857</v>
      </c>
      <c r="AT8">
        <f t="shared" ref="AT8:AT37" si="13">0.0673*(AQ8*AR8^2*AS8)^0.976</f>
        <v>0.12807715485095181</v>
      </c>
      <c r="AU8">
        <f>AU7*0.6</f>
        <v>36</v>
      </c>
      <c r="AV8">
        <f t="shared" ref="AV8:AV37" si="14">AT8*AU8*$F$5</f>
        <v>2.1901193479512759</v>
      </c>
      <c r="AX8">
        <f>AX7+0.8</f>
        <v>0.8</v>
      </c>
      <c r="AY8">
        <f t="shared" ref="AY8:AY37" si="15">AX8*3.67</f>
        <v>2.9359999999999999</v>
      </c>
      <c r="AZ8">
        <f t="shared" ref="AZ8:AZ36" si="16">SUM(H8,P8,X8,AF8,AN8,AV8)*3.67/1000</f>
        <v>3.4547370628947083E-2</v>
      </c>
      <c r="BA8">
        <f t="shared" ref="BA8:BA36" si="17">AZ8*0.235</f>
        <v>8.1186320978025635E-3</v>
      </c>
      <c r="BB8">
        <f t="shared" ref="BB8:BB37" si="18">AZ8+BA8</f>
        <v>4.2666002726749648E-2</v>
      </c>
      <c r="BC8">
        <f t="shared" ref="BC8:BC36" si="19">BB8+AY8</f>
        <v>2.9786660027267495</v>
      </c>
      <c r="BH8">
        <f t="shared" ref="BH8:BH37" si="20">SUM(G8,O8,W8,AE8,AM8,AU8)</f>
        <v>216</v>
      </c>
      <c r="BI8">
        <f t="shared" ref="BI8:BI37" si="21">AVERAGE(D8,L8,T8,AB8,AJ8,AR8)</f>
        <v>0.89482344228610333</v>
      </c>
      <c r="BJ8">
        <f t="shared" ref="BJ8:BJ37" si="22">SUM(D8*G8,L8*O8,T8*W8,AB8*AE8,AJ8*AM8,AR8*AU8)/BH8</f>
        <v>0.89482344228610344</v>
      </c>
    </row>
    <row r="9" spans="1:62" ht="18.95">
      <c r="A9" s="39">
        <v>2</v>
      </c>
      <c r="B9" s="40" t="s">
        <v>104</v>
      </c>
      <c r="C9">
        <v>0.54</v>
      </c>
      <c r="D9" s="45">
        <f>A9*1.3*0.93</f>
        <v>2.4180000000000001</v>
      </c>
      <c r="E9">
        <f t="shared" ref="E9:E37" si="23">IF(EXP(0.893-$C$5+0.76*LN(D9)-0.034*(LN(D9))^2)&gt;20, 20, EXP(0.893-$C$5+0.76*LN(D9)-0.034*(LN(D9))^2))</f>
        <v>3.9666892433038154</v>
      </c>
      <c r="F9">
        <f t="shared" si="0"/>
        <v>0.79323883281578411</v>
      </c>
      <c r="G9">
        <f>G8*0.995</f>
        <v>35.82</v>
      </c>
      <c r="H9">
        <f t="shared" si="1"/>
        <v>13.496562120944159</v>
      </c>
      <c r="J9" s="40" t="s">
        <v>105</v>
      </c>
      <c r="K9">
        <v>0.82699999999999996</v>
      </c>
      <c r="L9" s="46">
        <f t="shared" si="2"/>
        <v>2.2320000000000002</v>
      </c>
      <c r="M9">
        <f t="shared" ref="M9:M37" si="24">IF(EXP(0.893-$C$5+0.76*LN(L9)-0.034*(LN(L9))^2)&gt;10, 10, EXP(0.893-$C$5+0.76*LN(L9)-0.034*(LN(L9))^2))</f>
        <v>3.7497428888488935</v>
      </c>
      <c r="N9">
        <f t="shared" si="3"/>
        <v>0.97359190747187629</v>
      </c>
      <c r="O9">
        <f>O8*0.995</f>
        <v>35.82</v>
      </c>
      <c r="P9">
        <f t="shared" si="4"/>
        <v>16.565179509680238</v>
      </c>
      <c r="R9" s="40" t="s">
        <v>106</v>
      </c>
      <c r="S9">
        <v>0.83399999999999996</v>
      </c>
      <c r="T9" s="45">
        <f t="shared" si="5"/>
        <v>1.5438000000000001</v>
      </c>
      <c r="U9">
        <f t="shared" ref="U9:U37" si="25">IF(EXP(0.893-$C$5+0.76*LN(T9)-0.034*(LN(T9))^2)&gt;8, 8, EXP(0.893-$C$5+0.76*LN(T9)-0.034*(LN(T9))^2))</f>
        <v>2.8777794095050986</v>
      </c>
      <c r="V9">
        <f t="shared" si="6"/>
        <v>0.36918407055421182</v>
      </c>
      <c r="W9">
        <f>W8*0.995</f>
        <v>35.82</v>
      </c>
      <c r="X9">
        <f t="shared" ref="X9:X37" si="26">V9*W9*$F$5</f>
        <v>6.281482368444637</v>
      </c>
      <c r="Z9" s="40" t="s">
        <v>107</v>
      </c>
      <c r="AA9">
        <v>0.83</v>
      </c>
      <c r="AB9" s="46">
        <f t="shared" si="7"/>
        <v>1.7856000000000001</v>
      </c>
      <c r="AC9">
        <f t="shared" ref="AC9:AC37" si="27">IF(EXP(0.893-$C$5+0.76*LN(AB9)-0.034*(LN(AB9))^2)&gt;4, 4, EXP(0.893-$C$5+0.76*LN(AB9)-0.034*(LN(AB9))^2))</f>
        <v>3.1982001408205352</v>
      </c>
      <c r="AD9">
        <f t="shared" si="8"/>
        <v>0.5411353421827092</v>
      </c>
      <c r="AE9">
        <f>AE8*0.995</f>
        <v>35.82</v>
      </c>
      <c r="AF9">
        <f t="shared" si="9"/>
        <v>9.207147279567705</v>
      </c>
      <c r="AH9" s="40" t="s">
        <v>108</v>
      </c>
      <c r="AI9">
        <v>0.67500000000000004</v>
      </c>
      <c r="AJ9" s="45">
        <f>(10.348*LN(A9)-6.693)*0.93</f>
        <v>0.44610893272391233</v>
      </c>
      <c r="AK9">
        <f t="shared" ref="AK9:AK37" si="28">IF(EXP(0.893-$C$5+0.76*LN(AJ9)-0.034*(LN(AJ9))^2)&gt;25, 25, EXP(0.893-$C$5+0.76*LN(AJ9)-0.034*(LN(AJ9))^2))</f>
        <v>1.1027242229265279</v>
      </c>
      <c r="AL9">
        <f t="shared" si="10"/>
        <v>1.0436909796128178E-2</v>
      </c>
      <c r="AM9">
        <f>AM8*0.995</f>
        <v>35.82</v>
      </c>
      <c r="AN9">
        <f t="shared" si="11"/>
        <v>0.1775788017262229</v>
      </c>
      <c r="AP9" s="41" t="s">
        <v>32</v>
      </c>
      <c r="AQ9">
        <v>0.6</v>
      </c>
      <c r="AR9" s="46">
        <f t="shared" si="12"/>
        <v>2.3436000000000003</v>
      </c>
      <c r="AS9">
        <f t="shared" ref="AS9:AS37" si="29">IF(EXP(0.893-$C$5+0.76*LN(AR9)-0.034*(LN(AR9))^2)&gt;22.5, 22.5, EXP(0.893-$C$5+0.76*LN(AR9)-0.034*(LN(AR9))^2))</f>
        <v>3.8807291577701366</v>
      </c>
      <c r="AT9">
        <f t="shared" si="13"/>
        <v>0.80962268725573516</v>
      </c>
      <c r="AU9">
        <f>AU8*0.995</f>
        <v>35.82</v>
      </c>
      <c r="AV9">
        <f t="shared" si="14"/>
        <v>13.775325212312705</v>
      </c>
      <c r="AX9">
        <f t="shared" ref="AX9:AX37" si="30">AX8+0.8</f>
        <v>1.6</v>
      </c>
      <c r="AY9">
        <f t="shared" si="15"/>
        <v>5.8719999999999999</v>
      </c>
      <c r="AZ9">
        <f t="shared" si="16"/>
        <v>0.21837702032411968</v>
      </c>
      <c r="BA9">
        <f t="shared" si="17"/>
        <v>5.1318599776168122E-2</v>
      </c>
      <c r="BB9">
        <f t="shared" si="18"/>
        <v>0.2696956201002878</v>
      </c>
      <c r="BC9">
        <f t="shared" si="19"/>
        <v>6.1416956201002879</v>
      </c>
      <c r="BE9" s="38" t="s">
        <v>109</v>
      </c>
      <c r="BH9">
        <f t="shared" si="20"/>
        <v>214.92</v>
      </c>
      <c r="BI9">
        <f t="shared" si="21"/>
        <v>1.7948514887873188</v>
      </c>
      <c r="BJ9">
        <f t="shared" si="22"/>
        <v>1.794851488787319</v>
      </c>
    </row>
    <row r="10" spans="1:62">
      <c r="A10" s="39">
        <v>3</v>
      </c>
      <c r="B10" s="40" t="s">
        <v>104</v>
      </c>
      <c r="C10">
        <v>0.54</v>
      </c>
      <c r="D10" s="45">
        <f>(11.291*LN(A10)-8.2599)*0.93</f>
        <v>3.8544141567570138</v>
      </c>
      <c r="E10">
        <f t="shared" si="23"/>
        <v>5.4570908274313821</v>
      </c>
      <c r="F10">
        <f t="shared" si="0"/>
        <v>2.6908918358536993</v>
      </c>
      <c r="G10">
        <f t="shared" ref="G10:G37" si="31">G9*0.995</f>
        <v>35.640900000000002</v>
      </c>
      <c r="H10">
        <f t="shared" si="1"/>
        <v>45.555258245427105</v>
      </c>
      <c r="J10" s="40" t="s">
        <v>105</v>
      </c>
      <c r="K10">
        <v>0.82699999999999996</v>
      </c>
      <c r="L10" s="46">
        <f t="shared" si="2"/>
        <v>3.3479999999999999</v>
      </c>
      <c r="M10">
        <f t="shared" si="24"/>
        <v>4.9635136380079485</v>
      </c>
      <c r="N10">
        <f t="shared" si="3"/>
        <v>2.8246973133015922</v>
      </c>
      <c r="O10">
        <f t="shared" ref="O10:O37" si="32">O9*0.995</f>
        <v>35.640900000000002</v>
      </c>
      <c r="P10">
        <f t="shared" si="4"/>
        <v>47.820508374984094</v>
      </c>
      <c r="R10" s="40" t="s">
        <v>106</v>
      </c>
      <c r="S10">
        <v>0.83399999999999996</v>
      </c>
      <c r="T10" s="45">
        <f t="shared" si="5"/>
        <v>2.3157000000000001</v>
      </c>
      <c r="U10">
        <f t="shared" si="25"/>
        <v>3.8482168306610349</v>
      </c>
      <c r="V10">
        <f t="shared" si="6"/>
        <v>1.0817982551473855</v>
      </c>
      <c r="W10">
        <f t="shared" ref="W10:W37" si="33">W9*0.995</f>
        <v>35.640900000000002</v>
      </c>
      <c r="X10">
        <f t="shared" si="26"/>
        <v>18.314225130144166</v>
      </c>
      <c r="Z10" s="40" t="s">
        <v>107</v>
      </c>
      <c r="AA10">
        <v>0.83</v>
      </c>
      <c r="AB10" s="46">
        <f t="shared" si="7"/>
        <v>2.6783999999999999</v>
      </c>
      <c r="AC10">
        <f t="shared" si="27"/>
        <v>4</v>
      </c>
      <c r="AD10">
        <f t="shared" si="8"/>
        <v>1.4854522146834015</v>
      </c>
      <c r="AE10">
        <f t="shared" ref="AE10:AE37" si="34">AE9*0.995</f>
        <v>35.640900000000002</v>
      </c>
      <c r="AF10">
        <f t="shared" si="9"/>
        <v>25.147855573197081</v>
      </c>
      <c r="AH10" s="40" t="s">
        <v>108</v>
      </c>
      <c r="AI10">
        <v>0.67500000000000004</v>
      </c>
      <c r="AJ10" s="45">
        <f t="shared" ref="AJ10:AJ37" si="35">(10.348*LN(A10)-6.693)*0.93</f>
        <v>4.348159165717969</v>
      </c>
      <c r="AK10">
        <f t="shared" si="28"/>
        <v>5.9119089797493611</v>
      </c>
      <c r="AL10">
        <f t="shared" si="10"/>
        <v>4.5771381984028379</v>
      </c>
      <c r="AM10">
        <f t="shared" ref="AM10:AM37" si="36">AM9*0.995</f>
        <v>35.640900000000002</v>
      </c>
      <c r="AN10">
        <f t="shared" si="11"/>
        <v>77.488329287341458</v>
      </c>
      <c r="AP10" s="41" t="s">
        <v>32</v>
      </c>
      <c r="AQ10">
        <v>0.6</v>
      </c>
      <c r="AR10" s="46">
        <f t="shared" si="12"/>
        <v>3.5154000000000005</v>
      </c>
      <c r="AS10">
        <f t="shared" si="29"/>
        <v>5.1299937920731127</v>
      </c>
      <c r="AT10">
        <f t="shared" si="13"/>
        <v>2.3458888381534253</v>
      </c>
      <c r="AU10">
        <f t="shared" ref="AU10:AU37" si="37">AU9*0.995</f>
        <v>35.640900000000002</v>
      </c>
      <c r="AV10">
        <f t="shared" si="14"/>
        <v>39.714555008577648</v>
      </c>
      <c r="AX10">
        <f t="shared" si="30"/>
        <v>2.4000000000000004</v>
      </c>
      <c r="AY10">
        <f t="shared" si="15"/>
        <v>8.8080000000000016</v>
      </c>
      <c r="AZ10">
        <f t="shared" si="16"/>
        <v>0.93232948504419444</v>
      </c>
      <c r="BA10">
        <f t="shared" si="17"/>
        <v>0.21909742898538567</v>
      </c>
      <c r="BB10">
        <f t="shared" si="18"/>
        <v>1.1514269140295801</v>
      </c>
      <c r="BC10">
        <f t="shared" si="19"/>
        <v>9.9594269140295815</v>
      </c>
      <c r="BE10">
        <f>BC37*BE7</f>
        <v>2495.2926067725189</v>
      </c>
      <c r="BH10">
        <f t="shared" si="20"/>
        <v>213.84539999999998</v>
      </c>
      <c r="BI10">
        <f t="shared" si="21"/>
        <v>3.3433455537458303</v>
      </c>
      <c r="BJ10">
        <f t="shared" si="22"/>
        <v>3.3433455537458308</v>
      </c>
    </row>
    <row r="11" spans="1:62">
      <c r="A11" s="39">
        <v>4</v>
      </c>
      <c r="B11" s="40" t="s">
        <v>104</v>
      </c>
      <c r="C11">
        <v>0.54</v>
      </c>
      <c r="D11" s="45">
        <f t="shared" ref="D11:D37" si="38">(11.291*LN(A11)-8.2599)*0.93</f>
        <v>6.8752571572063577</v>
      </c>
      <c r="E11">
        <f t="shared" si="23"/>
        <v>7.9427044024510023</v>
      </c>
      <c r="F11">
        <f t="shared" si="0"/>
        <v>12.011259682915471</v>
      </c>
      <c r="G11">
        <f t="shared" si="31"/>
        <v>35.462695500000002</v>
      </c>
      <c r="H11">
        <f t="shared" si="1"/>
        <v>202.3270312356625</v>
      </c>
      <c r="J11" s="40" t="s">
        <v>105</v>
      </c>
      <c r="K11">
        <v>0.82699999999999996</v>
      </c>
      <c r="L11" s="46">
        <f t="shared" si="2"/>
        <v>4.4640000000000004</v>
      </c>
      <c r="M11">
        <f t="shared" si="24"/>
        <v>6.0152621208069359</v>
      </c>
      <c r="N11">
        <f t="shared" si="3"/>
        <v>5.974677940426421</v>
      </c>
      <c r="O11">
        <f t="shared" si="32"/>
        <v>35.462695500000002</v>
      </c>
      <c r="P11">
        <f t="shared" si="4"/>
        <v>100.64213764315693</v>
      </c>
      <c r="R11" s="40" t="s">
        <v>106</v>
      </c>
      <c r="S11">
        <v>0.83399999999999996</v>
      </c>
      <c r="T11" s="45">
        <f t="shared" si="5"/>
        <v>3.0876000000000001</v>
      </c>
      <c r="U11">
        <f t="shared" si="25"/>
        <v>4.6973927262812403</v>
      </c>
      <c r="V11">
        <f t="shared" si="6"/>
        <v>2.3043353947381657</v>
      </c>
      <c r="W11">
        <f t="shared" si="33"/>
        <v>35.462695500000002</v>
      </c>
      <c r="X11">
        <f t="shared" si="26"/>
        <v>38.81602360589914</v>
      </c>
      <c r="Z11" s="40" t="s">
        <v>107</v>
      </c>
      <c r="AA11">
        <v>0.83</v>
      </c>
      <c r="AB11" s="46">
        <f t="shared" si="7"/>
        <v>3.5712000000000002</v>
      </c>
      <c r="AC11">
        <f t="shared" si="27"/>
        <v>4</v>
      </c>
      <c r="AD11">
        <f t="shared" si="8"/>
        <v>2.6045883846665623</v>
      </c>
      <c r="AE11">
        <f t="shared" si="34"/>
        <v>35.462695500000002</v>
      </c>
      <c r="AF11">
        <f t="shared" si="9"/>
        <v>43.873719274426904</v>
      </c>
      <c r="AH11" s="40" t="s">
        <v>108</v>
      </c>
      <c r="AI11">
        <v>0.67500000000000004</v>
      </c>
      <c r="AJ11" s="45">
        <f t="shared" si="35"/>
        <v>7.1167078654478244</v>
      </c>
      <c r="AK11">
        <f t="shared" si="28"/>
        <v>8.1166749187898439</v>
      </c>
      <c r="AL11">
        <f t="shared" si="10"/>
        <v>16.316142969166702</v>
      </c>
      <c r="AM11">
        <f t="shared" si="36"/>
        <v>35.462695500000002</v>
      </c>
      <c r="AN11">
        <f t="shared" si="11"/>
        <v>274.84184467876173</v>
      </c>
      <c r="AP11" s="41" t="s">
        <v>32</v>
      </c>
      <c r="AQ11">
        <v>0.6</v>
      </c>
      <c r="AR11" s="46">
        <f t="shared" si="12"/>
        <v>4.6872000000000007</v>
      </c>
      <c r="AS11">
        <f t="shared" si="29"/>
        <v>6.2110877330810332</v>
      </c>
      <c r="AT11">
        <f t="shared" si="13"/>
        <v>4.9573028007852082</v>
      </c>
      <c r="AU11">
        <f t="shared" si="37"/>
        <v>35.462695500000002</v>
      </c>
      <c r="AV11">
        <f t="shared" si="14"/>
        <v>83.504676869632917</v>
      </c>
      <c r="AX11">
        <f t="shared" si="30"/>
        <v>3.2</v>
      </c>
      <c r="AY11">
        <f t="shared" si="15"/>
        <v>11.744</v>
      </c>
      <c r="AZ11">
        <f t="shared" si="16"/>
        <v>2.7304999402386723</v>
      </c>
      <c r="BA11">
        <f t="shared" si="17"/>
        <v>0.64166748595608791</v>
      </c>
      <c r="BB11">
        <f t="shared" si="18"/>
        <v>3.3721674261947601</v>
      </c>
      <c r="BC11">
        <f t="shared" si="19"/>
        <v>15.11616742619476</v>
      </c>
      <c r="BH11">
        <f t="shared" si="20"/>
        <v>212.776173</v>
      </c>
      <c r="BI11">
        <f t="shared" si="21"/>
        <v>4.9669941704423639</v>
      </c>
      <c r="BJ11">
        <f t="shared" si="22"/>
        <v>4.9669941704423639</v>
      </c>
    </row>
    <row r="12" spans="1:62" ht="18.95">
      <c r="A12" s="39">
        <v>5</v>
      </c>
      <c r="B12" s="40" t="s">
        <v>104</v>
      </c>
      <c r="C12">
        <v>0.54</v>
      </c>
      <c r="D12" s="45">
        <f t="shared" si="38"/>
        <v>9.2184050264428876</v>
      </c>
      <c r="E12">
        <f t="shared" si="23"/>
        <v>9.5235638851318285</v>
      </c>
      <c r="F12">
        <f t="shared" si="0"/>
        <v>25.418374783839084</v>
      </c>
      <c r="G12">
        <f t="shared" si="31"/>
        <v>35.285382022500002</v>
      </c>
      <c r="H12">
        <f t="shared" si="1"/>
        <v>426.02610570345036</v>
      </c>
      <c r="J12" s="40" t="s">
        <v>105</v>
      </c>
      <c r="K12">
        <v>0.82699999999999996</v>
      </c>
      <c r="L12" s="46">
        <f t="shared" si="2"/>
        <v>5.58</v>
      </c>
      <c r="M12">
        <f t="shared" si="24"/>
        <v>6.9552406681794228</v>
      </c>
      <c r="N12">
        <f t="shared" si="3"/>
        <v>10.642093449791805</v>
      </c>
      <c r="O12">
        <f t="shared" si="32"/>
        <v>35.285382022500002</v>
      </c>
      <c r="P12">
        <f t="shared" si="4"/>
        <v>178.36740812514816</v>
      </c>
      <c r="R12" s="40" t="s">
        <v>106</v>
      </c>
      <c r="S12">
        <v>0.83399999999999996</v>
      </c>
      <c r="T12" s="45">
        <f t="shared" si="5"/>
        <v>3.8594999999999997</v>
      </c>
      <c r="U12">
        <f t="shared" si="25"/>
        <v>5.4619012430671399</v>
      </c>
      <c r="V12">
        <f t="shared" si="6"/>
        <v>4.126951082506908</v>
      </c>
      <c r="W12">
        <f t="shared" si="33"/>
        <v>35.285382022500002</v>
      </c>
      <c r="X12">
        <f t="shared" si="26"/>
        <v>69.169996628852431</v>
      </c>
      <c r="Z12" s="40" t="s">
        <v>107</v>
      </c>
      <c r="AA12">
        <v>0.83</v>
      </c>
      <c r="AB12" s="46">
        <f t="shared" si="7"/>
        <v>4.4640000000000004</v>
      </c>
      <c r="AC12">
        <f t="shared" si="27"/>
        <v>4</v>
      </c>
      <c r="AD12">
        <f t="shared" si="8"/>
        <v>4.0263121798624137</v>
      </c>
      <c r="AE12">
        <f t="shared" si="34"/>
        <v>35.285382022500002</v>
      </c>
      <c r="AF12">
        <f t="shared" si="9"/>
        <v>67.483232618937762</v>
      </c>
      <c r="AH12" s="40" t="s">
        <v>108</v>
      </c>
      <c r="AI12">
        <v>0.67500000000000004</v>
      </c>
      <c r="AJ12" s="45">
        <f t="shared" si="35"/>
        <v>9.2641610716173055</v>
      </c>
      <c r="AK12">
        <f t="shared" si="28"/>
        <v>9.5523139450916581</v>
      </c>
      <c r="AL12">
        <f t="shared" si="10"/>
        <v>32.004203989489582</v>
      </c>
      <c r="AM12">
        <f t="shared" si="36"/>
        <v>35.285382022500002</v>
      </c>
      <c r="AN12">
        <f t="shared" si="11"/>
        <v>536.40826794520024</v>
      </c>
      <c r="AP12" s="41" t="s">
        <v>32</v>
      </c>
      <c r="AQ12">
        <v>0.6</v>
      </c>
      <c r="AR12" s="46">
        <f t="shared" si="12"/>
        <v>5.859</v>
      </c>
      <c r="AS12">
        <f t="shared" si="29"/>
        <v>7.1763522491054488</v>
      </c>
      <c r="AT12">
        <f t="shared" si="13"/>
        <v>8.8235674625905443</v>
      </c>
      <c r="AU12">
        <f t="shared" si="37"/>
        <v>35.285382022500002</v>
      </c>
      <c r="AV12">
        <f t="shared" si="14"/>
        <v>147.88790064143396</v>
      </c>
      <c r="AX12">
        <f t="shared" si="30"/>
        <v>4</v>
      </c>
      <c r="AY12">
        <f t="shared" si="15"/>
        <v>14.68</v>
      </c>
      <c r="AZ12">
        <f t="shared" si="16"/>
        <v>5.2310084858032955</v>
      </c>
      <c r="BA12">
        <f t="shared" si="17"/>
        <v>1.2292869941637743</v>
      </c>
      <c r="BB12">
        <f t="shared" si="18"/>
        <v>6.46029547996707</v>
      </c>
      <c r="BC12">
        <f t="shared" si="19"/>
        <v>21.140295479967069</v>
      </c>
      <c r="BE12" s="38" t="s">
        <v>110</v>
      </c>
      <c r="BF12" s="1" t="s">
        <v>111</v>
      </c>
      <c r="BH12">
        <f t="shared" si="20"/>
        <v>211.71229213500004</v>
      </c>
      <c r="BI12" s="30">
        <f>AVERAGE(D12,L12,T12,AB12,AJ12,AR12)</f>
        <v>6.374177683010033</v>
      </c>
      <c r="BJ12" s="30">
        <f t="shared" si="22"/>
        <v>6.374177683010033</v>
      </c>
    </row>
    <row r="13" spans="1:62">
      <c r="A13" s="39">
        <v>6</v>
      </c>
      <c r="B13" s="40" t="s">
        <v>104</v>
      </c>
      <c r="C13">
        <v>0.54</v>
      </c>
      <c r="D13" s="45">
        <f t="shared" si="38"/>
        <v>11.132896235360191</v>
      </c>
      <c r="E13">
        <f t="shared" si="23"/>
        <v>10.670365087171863</v>
      </c>
      <c r="F13">
        <f t="shared" si="0"/>
        <v>41.050030195956417</v>
      </c>
      <c r="G13">
        <f t="shared" si="31"/>
        <v>35.108955112387505</v>
      </c>
      <c r="H13">
        <f t="shared" si="1"/>
        <v>684.58124206819309</v>
      </c>
      <c r="J13" s="40" t="s">
        <v>105</v>
      </c>
      <c r="K13">
        <v>0.82699999999999996</v>
      </c>
      <c r="L13" s="46">
        <f t="shared" si="2"/>
        <v>6.6959999999999997</v>
      </c>
      <c r="M13">
        <f t="shared" si="24"/>
        <v>7.8116432153777851</v>
      </c>
      <c r="N13">
        <f t="shared" si="3"/>
        <v>17.014091807703629</v>
      </c>
      <c r="O13">
        <f t="shared" si="32"/>
        <v>35.108955112387505</v>
      </c>
      <c r="P13">
        <f t="shared" si="4"/>
        <v>283.7398181384857</v>
      </c>
      <c r="R13" s="40" t="s">
        <v>106</v>
      </c>
      <c r="S13">
        <v>0.83399999999999996</v>
      </c>
      <c r="T13" s="45">
        <f t="shared" si="5"/>
        <v>4.6314000000000002</v>
      </c>
      <c r="U13">
        <f t="shared" si="25"/>
        <v>6.1625295944488379</v>
      </c>
      <c r="V13">
        <f t="shared" si="6"/>
        <v>6.6274784427254652</v>
      </c>
      <c r="W13">
        <f t="shared" si="33"/>
        <v>35.108955112387505</v>
      </c>
      <c r="X13">
        <f t="shared" si="26"/>
        <v>110.524825498133</v>
      </c>
      <c r="Z13" s="40" t="s">
        <v>107</v>
      </c>
      <c r="AA13">
        <v>0.83</v>
      </c>
      <c r="AB13" s="46">
        <f t="shared" si="7"/>
        <v>5.3567999999999998</v>
      </c>
      <c r="AC13">
        <f t="shared" si="27"/>
        <v>4</v>
      </c>
      <c r="AD13">
        <f t="shared" si="8"/>
        <v>5.7473710641433851</v>
      </c>
      <c r="AE13">
        <f t="shared" si="34"/>
        <v>35.108955112387505</v>
      </c>
      <c r="AF13">
        <f t="shared" si="9"/>
        <v>95.847491534991335</v>
      </c>
      <c r="AH13" s="40" t="s">
        <v>108</v>
      </c>
      <c r="AI13">
        <v>0.67500000000000004</v>
      </c>
      <c r="AJ13" s="45">
        <f t="shared" si="35"/>
        <v>11.01875809844188</v>
      </c>
      <c r="AK13">
        <f t="shared" si="28"/>
        <v>10.604977206399607</v>
      </c>
      <c r="AL13">
        <f t="shared" si="10"/>
        <v>49.722846479612748</v>
      </c>
      <c r="AM13">
        <f t="shared" si="36"/>
        <v>35.108955112387505</v>
      </c>
      <c r="AN13">
        <f t="shared" si="11"/>
        <v>829.21566292860803</v>
      </c>
      <c r="AP13" s="41" t="s">
        <v>32</v>
      </c>
      <c r="AQ13">
        <v>0.6</v>
      </c>
      <c r="AR13" s="46">
        <f t="shared" si="12"/>
        <v>7.030800000000001</v>
      </c>
      <c r="AS13">
        <f t="shared" si="29"/>
        <v>8.0551064261214442</v>
      </c>
      <c r="AT13">
        <f t="shared" si="13"/>
        <v>14.098389897387355</v>
      </c>
      <c r="AU13">
        <f t="shared" si="37"/>
        <v>35.108955112387505</v>
      </c>
      <c r="AV13">
        <f t="shared" si="14"/>
        <v>235.11537558054729</v>
      </c>
      <c r="AX13">
        <f t="shared" si="30"/>
        <v>4.8</v>
      </c>
      <c r="AY13">
        <f t="shared" si="15"/>
        <v>17.616</v>
      </c>
      <c r="AZ13">
        <f t="shared" si="16"/>
        <v>8.2172196057986771</v>
      </c>
      <c r="BA13">
        <f t="shared" si="17"/>
        <v>1.9310466073626891</v>
      </c>
      <c r="BB13">
        <f t="shared" si="18"/>
        <v>10.148266213161365</v>
      </c>
      <c r="BC13">
        <f t="shared" si="19"/>
        <v>27.764266213161363</v>
      </c>
      <c r="BE13">
        <f>BE10*0.2</f>
        <v>499.0585213545038</v>
      </c>
      <c r="BF13">
        <f>BE13/BE7</f>
        <v>51.080708429324851</v>
      </c>
      <c r="BH13">
        <f t="shared" si="20"/>
        <v>210.653730674325</v>
      </c>
      <c r="BI13">
        <f t="shared" si="21"/>
        <v>7.6444423889670112</v>
      </c>
      <c r="BJ13">
        <f t="shared" si="22"/>
        <v>7.6444423889670139</v>
      </c>
    </row>
    <row r="14" spans="1:62">
      <c r="A14" s="39">
        <v>7</v>
      </c>
      <c r="B14" s="40" t="s">
        <v>104</v>
      </c>
      <c r="C14">
        <v>0.54</v>
      </c>
      <c r="D14" s="45">
        <f t="shared" si="38"/>
        <v>12.751575488474696</v>
      </c>
      <c r="E14">
        <f t="shared" si="23"/>
        <v>11.562512481686449</v>
      </c>
      <c r="F14">
        <f t="shared" si="0"/>
        <v>57.866999369634541</v>
      </c>
      <c r="G14">
        <f t="shared" si="31"/>
        <v>34.933410336825567</v>
      </c>
      <c r="H14">
        <f t="shared" si="1"/>
        <v>960.2085261216281</v>
      </c>
      <c r="J14" s="40" t="s">
        <v>105</v>
      </c>
      <c r="K14">
        <v>0.82699999999999996</v>
      </c>
      <c r="L14" s="46">
        <f t="shared" si="2"/>
        <v>7.8120000000000012</v>
      </c>
      <c r="M14">
        <f t="shared" si="24"/>
        <v>8.6023019416486282</v>
      </c>
      <c r="N14">
        <f t="shared" si="3"/>
        <v>25.255516425678607</v>
      </c>
      <c r="O14">
        <f t="shared" si="32"/>
        <v>34.933410336825567</v>
      </c>
      <c r="P14">
        <f t="shared" si="4"/>
        <v>419.0741263191677</v>
      </c>
      <c r="R14" s="40" t="s">
        <v>106</v>
      </c>
      <c r="S14">
        <v>0.83399999999999996</v>
      </c>
      <c r="T14" s="45">
        <f t="shared" si="5"/>
        <v>5.4032999999999998</v>
      </c>
      <c r="U14">
        <f t="shared" si="25"/>
        <v>6.812547470628509</v>
      </c>
      <c r="V14">
        <f t="shared" si="6"/>
        <v>9.8749241431592978</v>
      </c>
      <c r="W14">
        <f t="shared" si="33"/>
        <v>34.933410336825567</v>
      </c>
      <c r="X14">
        <f t="shared" si="26"/>
        <v>163.85826914055446</v>
      </c>
      <c r="Z14" s="40" t="s">
        <v>107</v>
      </c>
      <c r="AA14">
        <v>0.83</v>
      </c>
      <c r="AB14" s="46">
        <f t="shared" si="7"/>
        <v>6.2496</v>
      </c>
      <c r="AC14">
        <f t="shared" si="27"/>
        <v>4</v>
      </c>
      <c r="AD14">
        <f t="shared" si="8"/>
        <v>7.7651414364523097</v>
      </c>
      <c r="AE14">
        <f t="shared" si="34"/>
        <v>34.933410336825567</v>
      </c>
      <c r="AF14">
        <f t="shared" si="9"/>
        <v>128.84986425846091</v>
      </c>
      <c r="AH14" s="40" t="s">
        <v>108</v>
      </c>
      <c r="AI14">
        <v>0.67500000000000004</v>
      </c>
      <c r="AJ14" s="45">
        <f t="shared" si="35"/>
        <v>12.502248746854677</v>
      </c>
      <c r="AK14">
        <f t="shared" si="28"/>
        <v>11.429136279865288</v>
      </c>
      <c r="AL14">
        <f t="shared" si="10"/>
        <v>68.447482005353919</v>
      </c>
      <c r="AM14">
        <f t="shared" si="36"/>
        <v>34.933410336825567</v>
      </c>
      <c r="AN14">
        <f t="shared" si="11"/>
        <v>1135.7743883223684</v>
      </c>
      <c r="AP14" s="41" t="s">
        <v>32</v>
      </c>
      <c r="AQ14">
        <v>0.6</v>
      </c>
      <c r="AR14" s="46">
        <f t="shared" si="12"/>
        <v>8.2026000000000003</v>
      </c>
      <c r="AS14">
        <f t="shared" si="29"/>
        <v>8.865871945685015</v>
      </c>
      <c r="AT14">
        <f t="shared" si="13"/>
        <v>20.91703955723613</v>
      </c>
      <c r="AU14">
        <f t="shared" si="37"/>
        <v>34.933410336825567</v>
      </c>
      <c r="AV14">
        <f t="shared" si="14"/>
        <v>347.08417479515742</v>
      </c>
      <c r="AX14">
        <f t="shared" si="30"/>
        <v>5.6</v>
      </c>
      <c r="AY14">
        <f t="shared" si="15"/>
        <v>20.552</v>
      </c>
      <c r="AZ14">
        <f t="shared" si="16"/>
        <v>11.578297110673425</v>
      </c>
      <c r="BA14">
        <f t="shared" si="17"/>
        <v>2.7208998210082549</v>
      </c>
      <c r="BB14">
        <f t="shared" si="18"/>
        <v>14.29919693168168</v>
      </c>
      <c r="BC14">
        <f t="shared" si="19"/>
        <v>34.851196931681677</v>
      </c>
      <c r="BH14">
        <f t="shared" si="20"/>
        <v>209.60046202095342</v>
      </c>
      <c r="BI14" s="30">
        <f t="shared" si="21"/>
        <v>8.8202207058882305</v>
      </c>
      <c r="BJ14" s="30">
        <f t="shared" si="22"/>
        <v>8.8202207058882287</v>
      </c>
    </row>
    <row r="15" spans="1:62" ht="18.95">
      <c r="A15" s="39">
        <v>8</v>
      </c>
      <c r="B15" s="40" t="s">
        <v>104</v>
      </c>
      <c r="C15">
        <v>0.54</v>
      </c>
      <c r="D15" s="45">
        <f t="shared" si="38"/>
        <v>14.153739235809537</v>
      </c>
      <c r="E15">
        <f t="shared" si="23"/>
        <v>12.288027753266014</v>
      </c>
      <c r="F15">
        <f t="shared" si="0"/>
        <v>75.277735798657091</v>
      </c>
      <c r="G15">
        <f t="shared" si="31"/>
        <v>34.758743285141442</v>
      </c>
      <c r="H15">
        <f t="shared" si="1"/>
        <v>1242.8657595133061</v>
      </c>
      <c r="J15" s="40" t="s">
        <v>105</v>
      </c>
      <c r="K15">
        <v>0.82699999999999996</v>
      </c>
      <c r="L15" s="46">
        <f t="shared" si="2"/>
        <v>8.9280000000000008</v>
      </c>
      <c r="M15">
        <f t="shared" si="24"/>
        <v>9.3393977838929576</v>
      </c>
      <c r="N15">
        <f t="shared" si="3"/>
        <v>35.514346231400978</v>
      </c>
      <c r="O15">
        <f t="shared" si="32"/>
        <v>34.758743285141442</v>
      </c>
      <c r="P15">
        <f t="shared" si="4"/>
        <v>586.35617070852607</v>
      </c>
      <c r="R15" s="40" t="s">
        <v>106</v>
      </c>
      <c r="S15">
        <v>0.83399999999999996</v>
      </c>
      <c r="T15" s="45">
        <f t="shared" si="5"/>
        <v>6.1752000000000002</v>
      </c>
      <c r="U15">
        <f t="shared" si="25"/>
        <v>7.4210864484113799</v>
      </c>
      <c r="V15">
        <f t="shared" si="6"/>
        <v>13.931574672864103</v>
      </c>
      <c r="W15">
        <f t="shared" si="33"/>
        <v>34.758743285141442</v>
      </c>
      <c r="X15">
        <f t="shared" si="26"/>
        <v>230.01591311563431</v>
      </c>
      <c r="Z15" s="40" t="s">
        <v>107</v>
      </c>
      <c r="AA15">
        <v>0.83</v>
      </c>
      <c r="AB15" s="46">
        <f t="shared" si="7"/>
        <v>7.1424000000000003</v>
      </c>
      <c r="AC15">
        <f t="shared" si="27"/>
        <v>4</v>
      </c>
      <c r="AD15">
        <f t="shared" si="8"/>
        <v>10.077426771501409</v>
      </c>
      <c r="AE15">
        <f t="shared" si="34"/>
        <v>34.758743285141442</v>
      </c>
      <c r="AF15">
        <f t="shared" si="9"/>
        <v>166.38237780957886</v>
      </c>
      <c r="AH15" s="40" t="s">
        <v>108</v>
      </c>
      <c r="AI15">
        <v>0.67500000000000004</v>
      </c>
      <c r="AJ15" s="45">
        <f t="shared" si="35"/>
        <v>13.787306798171738</v>
      </c>
      <c r="AK15">
        <f t="shared" si="28"/>
        <v>12.102276493370498</v>
      </c>
      <c r="AL15">
        <f t="shared" si="10"/>
        <v>87.61080562375632</v>
      </c>
      <c r="AM15">
        <f t="shared" si="36"/>
        <v>34.758743285141442</v>
      </c>
      <c r="AN15">
        <f t="shared" si="11"/>
        <v>1446.4897132982717</v>
      </c>
      <c r="AP15" s="41" t="s">
        <v>32</v>
      </c>
      <c r="AQ15">
        <v>0.6</v>
      </c>
      <c r="AR15" s="46">
        <f t="shared" si="12"/>
        <v>9.3744000000000014</v>
      </c>
      <c r="AS15">
        <f t="shared" si="29"/>
        <v>9.6212886368425536</v>
      </c>
      <c r="AT15">
        <f t="shared" si="13"/>
        <v>29.400858004574712</v>
      </c>
      <c r="AU15">
        <f t="shared" si="37"/>
        <v>34.758743285141442</v>
      </c>
      <c r="AV15">
        <f t="shared" si="14"/>
        <v>485.42001597835639</v>
      </c>
      <c r="AX15">
        <f t="shared" si="30"/>
        <v>6.3999999999999995</v>
      </c>
      <c r="AY15">
        <f t="shared" si="15"/>
        <v>23.487999999999996</v>
      </c>
      <c r="AZ15">
        <f t="shared" si="16"/>
        <v>15.258134918054882</v>
      </c>
      <c r="BA15">
        <f t="shared" si="17"/>
        <v>3.585661705742897</v>
      </c>
      <c r="BB15">
        <f t="shared" si="18"/>
        <v>18.843796623797779</v>
      </c>
      <c r="BC15">
        <f t="shared" si="19"/>
        <v>42.331796623797771</v>
      </c>
      <c r="BE15" s="38" t="s">
        <v>112</v>
      </c>
      <c r="BF15" t="s">
        <v>113</v>
      </c>
      <c r="BH15">
        <f t="shared" si="20"/>
        <v>208.55245971084864</v>
      </c>
      <c r="BI15">
        <f t="shared" si="21"/>
        <v>9.9268410056635457</v>
      </c>
      <c r="BJ15">
        <f t="shared" si="22"/>
        <v>9.9268410056635457</v>
      </c>
    </row>
    <row r="16" spans="1:62">
      <c r="A16" s="39">
        <v>9</v>
      </c>
      <c r="B16" s="40" t="s">
        <v>104</v>
      </c>
      <c r="C16">
        <v>0.54</v>
      </c>
      <c r="D16" s="45">
        <f t="shared" si="38"/>
        <v>15.390535313514029</v>
      </c>
      <c r="E16">
        <f t="shared" si="23"/>
        <v>12.896539756295356</v>
      </c>
      <c r="F16">
        <f t="shared" si="0"/>
        <v>92.93354222025124</v>
      </c>
      <c r="G16">
        <f t="shared" si="31"/>
        <v>34.584949568715736</v>
      </c>
      <c r="H16">
        <f t="shared" si="1"/>
        <v>1526.6983886915141</v>
      </c>
      <c r="J16" s="40" t="s">
        <v>105</v>
      </c>
      <c r="K16">
        <v>0.82699999999999996</v>
      </c>
      <c r="L16" s="46">
        <f t="shared" si="2"/>
        <v>10.043999999999999</v>
      </c>
      <c r="M16">
        <f t="shared" si="24"/>
        <v>10</v>
      </c>
      <c r="N16">
        <f t="shared" si="3"/>
        <v>47.777379721001829</v>
      </c>
      <c r="O16">
        <f t="shared" si="32"/>
        <v>34.584949568715736</v>
      </c>
      <c r="P16">
        <f t="shared" si="4"/>
        <v>784.87967738370935</v>
      </c>
      <c r="R16" s="40" t="s">
        <v>106</v>
      </c>
      <c r="S16">
        <v>0.83399999999999996</v>
      </c>
      <c r="T16" s="45">
        <f t="shared" si="5"/>
        <v>6.9470999999999998</v>
      </c>
      <c r="U16">
        <f t="shared" si="25"/>
        <v>7.9947712547369969</v>
      </c>
      <c r="V16">
        <f t="shared" si="6"/>
        <v>18.85438440356593</v>
      </c>
      <c r="W16">
        <f t="shared" si="33"/>
        <v>34.584949568715736</v>
      </c>
      <c r="X16">
        <f t="shared" si="26"/>
        <v>309.73701852959141</v>
      </c>
      <c r="Z16" s="40" t="s">
        <v>107</v>
      </c>
      <c r="AA16">
        <v>0.83</v>
      </c>
      <c r="AB16" s="46">
        <f t="shared" si="7"/>
        <v>8.0352000000000015</v>
      </c>
      <c r="AC16">
        <f t="shared" si="27"/>
        <v>4</v>
      </c>
      <c r="AD16">
        <f t="shared" si="8"/>
        <v>12.68233949879243</v>
      </c>
      <c r="AE16">
        <f t="shared" si="34"/>
        <v>34.584949568715736</v>
      </c>
      <c r="AF16">
        <f t="shared" si="9"/>
        <v>208.34358419005719</v>
      </c>
      <c r="AH16" s="40" t="s">
        <v>108</v>
      </c>
      <c r="AI16">
        <v>0.67500000000000004</v>
      </c>
      <c r="AJ16" s="45">
        <f t="shared" si="35"/>
        <v>14.920808331435939</v>
      </c>
      <c r="AK16">
        <f t="shared" si="28"/>
        <v>12.668662753203611</v>
      </c>
      <c r="AL16">
        <f t="shared" si="10"/>
        <v>106.88664693160936</v>
      </c>
      <c r="AM16">
        <f t="shared" si="36"/>
        <v>34.584949568715736</v>
      </c>
      <c r="AN16">
        <f t="shared" si="11"/>
        <v>1755.9179145069461</v>
      </c>
      <c r="AP16" s="41" t="s">
        <v>32</v>
      </c>
      <c r="AQ16">
        <v>0.6</v>
      </c>
      <c r="AR16" s="46">
        <f t="shared" si="12"/>
        <v>10.546200000000001</v>
      </c>
      <c r="AS16">
        <f t="shared" si="29"/>
        <v>10.330462825702858</v>
      </c>
      <c r="AT16">
        <f t="shared" si="13"/>
        <v>39.660207967491807</v>
      </c>
      <c r="AU16">
        <f t="shared" si="37"/>
        <v>34.584949568715736</v>
      </c>
      <c r="AV16">
        <f t="shared" si="14"/>
        <v>651.53198890922897</v>
      </c>
      <c r="AX16">
        <f t="shared" si="30"/>
        <v>7.1999999999999993</v>
      </c>
      <c r="AY16">
        <f t="shared" si="15"/>
        <v>26.423999999999996</v>
      </c>
      <c r="AZ16">
        <f t="shared" si="16"/>
        <v>19.220188460014537</v>
      </c>
      <c r="BA16">
        <f t="shared" si="17"/>
        <v>4.5167442881034159</v>
      </c>
      <c r="BB16">
        <f t="shared" si="18"/>
        <v>23.736932748117951</v>
      </c>
      <c r="BC16">
        <f t="shared" si="19"/>
        <v>50.160932748117943</v>
      </c>
      <c r="BE16">
        <f>BE10-BE13</f>
        <v>1996.2340854180152</v>
      </c>
      <c r="BF16">
        <f>BE16/BE7</f>
        <v>204.3228337172994</v>
      </c>
      <c r="BH16">
        <f t="shared" si="20"/>
        <v>207.5096974122944</v>
      </c>
      <c r="BI16" s="30">
        <f t="shared" si="21"/>
        <v>10.98064060749166</v>
      </c>
      <c r="BJ16" s="30">
        <f t="shared" si="22"/>
        <v>10.980640607491665</v>
      </c>
    </row>
    <row r="17" spans="1:62">
      <c r="A17" s="39">
        <v>10</v>
      </c>
      <c r="B17" s="40" t="s">
        <v>104</v>
      </c>
      <c r="C17">
        <v>0.54</v>
      </c>
      <c r="D17" s="45">
        <f t="shared" si="38"/>
        <v>16.496887105046067</v>
      </c>
      <c r="E17">
        <f t="shared" si="23"/>
        <v>13.418696019758984</v>
      </c>
      <c r="F17">
        <f t="shared" si="0"/>
        <v>110.62297900984979</v>
      </c>
      <c r="G17">
        <f t="shared" si="31"/>
        <v>34.412024820872155</v>
      </c>
      <c r="H17">
        <f t="shared" si="1"/>
        <v>1808.2113322367406</v>
      </c>
      <c r="J17" s="40" t="s">
        <v>105</v>
      </c>
      <c r="K17">
        <v>0.82699999999999996</v>
      </c>
      <c r="L17" s="46">
        <f t="shared" si="2"/>
        <v>11.16</v>
      </c>
      <c r="M17">
        <f t="shared" si="24"/>
        <v>10</v>
      </c>
      <c r="N17">
        <f t="shared" si="3"/>
        <v>58.686870256654473</v>
      </c>
      <c r="O17">
        <f t="shared" si="32"/>
        <v>34.412024820872155</v>
      </c>
      <c r="P17">
        <f t="shared" si="4"/>
        <v>959.2786670673662</v>
      </c>
      <c r="R17" s="40" t="s">
        <v>106</v>
      </c>
      <c r="S17">
        <v>0.83399999999999996</v>
      </c>
      <c r="T17" s="45">
        <f t="shared" si="5"/>
        <v>7.7189999999999994</v>
      </c>
      <c r="U17">
        <f t="shared" si="25"/>
        <v>8</v>
      </c>
      <c r="V17">
        <f t="shared" si="6"/>
        <v>23.174379191611028</v>
      </c>
      <c r="W17">
        <f t="shared" si="33"/>
        <v>34.412024820872155</v>
      </c>
      <c r="X17">
        <f t="shared" si="26"/>
        <v>378.8017231762604</v>
      </c>
      <c r="Z17" s="40" t="s">
        <v>107</v>
      </c>
      <c r="AA17">
        <v>0.83</v>
      </c>
      <c r="AB17" s="46">
        <f t="shared" si="7"/>
        <v>8.9280000000000008</v>
      </c>
      <c r="AC17">
        <f t="shared" si="27"/>
        <v>4</v>
      </c>
      <c r="AD17">
        <f t="shared" si="8"/>
        <v>15.578225868868746</v>
      </c>
      <c r="AE17">
        <f t="shared" si="34"/>
        <v>34.412024820872155</v>
      </c>
      <c r="AF17">
        <f t="shared" si="9"/>
        <v>254.63719025071538</v>
      </c>
      <c r="AH17" s="40" t="s">
        <v>108</v>
      </c>
      <c r="AI17">
        <v>0.67500000000000004</v>
      </c>
      <c r="AJ17" s="45">
        <f t="shared" si="35"/>
        <v>15.93476000434122</v>
      </c>
      <c r="AK17">
        <f t="shared" si="28"/>
        <v>13.1558721993145</v>
      </c>
      <c r="AL17">
        <f t="shared" si="10"/>
        <v>126.08249358094318</v>
      </c>
      <c r="AM17">
        <f t="shared" si="36"/>
        <v>34.412024820872155</v>
      </c>
      <c r="AN17">
        <f t="shared" si="11"/>
        <v>2060.9081018278134</v>
      </c>
      <c r="AP17" s="41" t="s">
        <v>32</v>
      </c>
      <c r="AQ17">
        <v>0.6</v>
      </c>
      <c r="AR17" s="46">
        <f t="shared" si="12"/>
        <v>11.718</v>
      </c>
      <c r="AS17">
        <f t="shared" si="29"/>
        <v>11.000225046861983</v>
      </c>
      <c r="AT17">
        <f t="shared" si="13"/>
        <v>51.796526505851574</v>
      </c>
      <c r="AU17">
        <f t="shared" si="37"/>
        <v>34.412024820872155</v>
      </c>
      <c r="AV17">
        <f t="shared" si="14"/>
        <v>846.65109398330526</v>
      </c>
      <c r="AX17">
        <f t="shared" si="30"/>
        <v>7.9999999999999991</v>
      </c>
      <c r="AY17">
        <f t="shared" si="15"/>
        <v>29.359999999999996</v>
      </c>
      <c r="AZ17">
        <f t="shared" si="16"/>
        <v>23.152151358349879</v>
      </c>
      <c r="BA17">
        <f t="shared" si="17"/>
        <v>5.4407555692122216</v>
      </c>
      <c r="BB17">
        <f t="shared" si="18"/>
        <v>28.592906927562101</v>
      </c>
      <c r="BC17">
        <f t="shared" si="19"/>
        <v>57.952906927562097</v>
      </c>
      <c r="BH17">
        <f t="shared" si="20"/>
        <v>206.47214892523291</v>
      </c>
      <c r="BI17">
        <f t="shared" si="21"/>
        <v>11.992774518231215</v>
      </c>
      <c r="BJ17">
        <f t="shared" si="22"/>
        <v>11.992774518231215</v>
      </c>
    </row>
    <row r="18" spans="1:62">
      <c r="A18" s="39">
        <v>11</v>
      </c>
      <c r="B18" s="40" t="s">
        <v>104</v>
      </c>
      <c r="C18">
        <v>0.54</v>
      </c>
      <c r="D18" s="45">
        <f t="shared" si="38"/>
        <v>17.497704038404759</v>
      </c>
      <c r="E18">
        <f t="shared" si="23"/>
        <v>13.874693880077213</v>
      </c>
      <c r="F18">
        <f t="shared" si="0"/>
        <v>128.21548033235658</v>
      </c>
      <c r="G18">
        <f t="shared" si="31"/>
        <v>34.239964696767792</v>
      </c>
      <c r="H18">
        <f t="shared" si="1"/>
        <v>2085.2944220755317</v>
      </c>
      <c r="J18" s="40" t="s">
        <v>105</v>
      </c>
      <c r="K18">
        <v>0.82699999999999996</v>
      </c>
      <c r="L18" s="46">
        <f t="shared" si="2"/>
        <v>12.276</v>
      </c>
      <c r="M18">
        <f t="shared" si="24"/>
        <v>10</v>
      </c>
      <c r="N18">
        <f t="shared" si="3"/>
        <v>70.68698706236961</v>
      </c>
      <c r="O18">
        <f t="shared" si="32"/>
        <v>34.239964696767792</v>
      </c>
      <c r="P18">
        <f t="shared" si="4"/>
        <v>1149.651972229798</v>
      </c>
      <c r="R18" s="40" t="s">
        <v>106</v>
      </c>
      <c r="S18">
        <v>0.83399999999999996</v>
      </c>
      <c r="T18" s="45">
        <f t="shared" si="5"/>
        <v>8.4908999999999999</v>
      </c>
      <c r="U18">
        <f t="shared" si="25"/>
        <v>8</v>
      </c>
      <c r="V18">
        <f t="shared" si="6"/>
        <v>27.913007371697589</v>
      </c>
      <c r="W18">
        <f t="shared" si="33"/>
        <v>34.239964696767792</v>
      </c>
      <c r="X18">
        <f t="shared" si="26"/>
        <v>453.97668381908363</v>
      </c>
      <c r="Z18" s="40" t="s">
        <v>107</v>
      </c>
      <c r="AA18">
        <v>0.83</v>
      </c>
      <c r="AB18" s="46">
        <f t="shared" si="7"/>
        <v>9.8208000000000002</v>
      </c>
      <c r="AC18">
        <f t="shared" si="27"/>
        <v>4</v>
      </c>
      <c r="AD18">
        <f t="shared" si="8"/>
        <v>18.763615194193012</v>
      </c>
      <c r="AE18">
        <f t="shared" si="34"/>
        <v>34.239964696767792</v>
      </c>
      <c r="AF18">
        <f t="shared" si="9"/>
        <v>305.17112287062957</v>
      </c>
      <c r="AH18" s="40" t="s">
        <v>108</v>
      </c>
      <c r="AI18">
        <v>0.67500000000000004</v>
      </c>
      <c r="AJ18" s="45">
        <f t="shared" si="35"/>
        <v>16.851990863113315</v>
      </c>
      <c r="AK18">
        <f t="shared" si="28"/>
        <v>13.582195396567352</v>
      </c>
      <c r="AL18">
        <f t="shared" si="10"/>
        <v>145.08329583462321</v>
      </c>
      <c r="AM18">
        <f t="shared" si="36"/>
        <v>34.239964696767792</v>
      </c>
      <c r="AN18">
        <f t="shared" si="11"/>
        <v>2359.632290547403</v>
      </c>
      <c r="AP18" s="41" t="s">
        <v>32</v>
      </c>
      <c r="AQ18">
        <v>0.6</v>
      </c>
      <c r="AR18" s="46">
        <f t="shared" si="12"/>
        <v>12.889800000000001</v>
      </c>
      <c r="AS18">
        <f t="shared" si="29"/>
        <v>11.635861357976843</v>
      </c>
      <c r="AT18">
        <f t="shared" si="13"/>
        <v>65.903821559490666</v>
      </c>
      <c r="AU18">
        <f t="shared" si="37"/>
        <v>34.239964696767792</v>
      </c>
      <c r="AV18">
        <f t="shared" si="14"/>
        <v>1071.8586487000459</v>
      </c>
      <c r="AX18">
        <f t="shared" si="30"/>
        <v>8.7999999999999989</v>
      </c>
      <c r="AY18">
        <f t="shared" si="15"/>
        <v>32.295999999999992</v>
      </c>
      <c r="AZ18">
        <f t="shared" si="16"/>
        <v>27.251897464689943</v>
      </c>
      <c r="BA18">
        <f t="shared" si="17"/>
        <v>6.4041959042021359</v>
      </c>
      <c r="BB18">
        <f t="shared" si="18"/>
        <v>33.65609336889208</v>
      </c>
      <c r="BC18">
        <f t="shared" si="19"/>
        <v>65.952093368892065</v>
      </c>
      <c r="BH18">
        <f t="shared" si="20"/>
        <v>205.43978818060677</v>
      </c>
      <c r="BI18">
        <f t="shared" si="21"/>
        <v>12.971199150253014</v>
      </c>
      <c r="BJ18">
        <f t="shared" si="22"/>
        <v>12.97119915025301</v>
      </c>
    </row>
    <row r="19" spans="1:62">
      <c r="A19" s="39">
        <v>12</v>
      </c>
      <c r="B19" s="40" t="s">
        <v>104</v>
      </c>
      <c r="C19">
        <v>0.54</v>
      </c>
      <c r="D19" s="45">
        <f t="shared" si="38"/>
        <v>18.411378313963375</v>
      </c>
      <c r="E19">
        <f t="shared" si="23"/>
        <v>14.278513515942258</v>
      </c>
      <c r="F19">
        <f t="shared" si="0"/>
        <v>145.62986274094814</v>
      </c>
      <c r="G19">
        <f t="shared" si="31"/>
        <v>34.068764873283953</v>
      </c>
      <c r="H19">
        <f t="shared" si="1"/>
        <v>2356.6790373187396</v>
      </c>
      <c r="J19" s="40" t="s">
        <v>105</v>
      </c>
      <c r="K19">
        <v>0.82699999999999996</v>
      </c>
      <c r="L19" s="46">
        <f t="shared" si="2"/>
        <v>13.391999999999999</v>
      </c>
      <c r="M19">
        <f t="shared" si="24"/>
        <v>10</v>
      </c>
      <c r="N19">
        <f t="shared" si="3"/>
        <v>83.772744111898277</v>
      </c>
      <c r="O19">
        <f t="shared" si="32"/>
        <v>34.068764873283953</v>
      </c>
      <c r="P19">
        <f t="shared" si="4"/>
        <v>1355.6661129205715</v>
      </c>
      <c r="R19" s="40" t="s">
        <v>106</v>
      </c>
      <c r="S19">
        <v>0.83399999999999996</v>
      </c>
      <c r="T19" s="45">
        <f t="shared" si="5"/>
        <v>9.2628000000000004</v>
      </c>
      <c r="U19">
        <f t="shared" si="25"/>
        <v>8</v>
      </c>
      <c r="V19">
        <f t="shared" si="6"/>
        <v>33.080335166634654</v>
      </c>
      <c r="W19">
        <f t="shared" si="33"/>
        <v>34.068764873283953</v>
      </c>
      <c r="X19">
        <f t="shared" si="26"/>
        <v>535.32792634271368</v>
      </c>
      <c r="Z19" s="40" t="s">
        <v>107</v>
      </c>
      <c r="AA19">
        <v>0.83</v>
      </c>
      <c r="AB19" s="46">
        <f t="shared" si="7"/>
        <v>10.7136</v>
      </c>
      <c r="AC19">
        <f t="shared" si="27"/>
        <v>4</v>
      </c>
      <c r="AD19">
        <f t="shared" si="8"/>
        <v>22.237183951415741</v>
      </c>
      <c r="AE19">
        <f t="shared" si="34"/>
        <v>34.068764873283953</v>
      </c>
      <c r="AF19">
        <f t="shared" si="9"/>
        <v>359.85686095525443</v>
      </c>
      <c r="AH19" s="40" t="s">
        <v>108</v>
      </c>
      <c r="AI19">
        <v>0.67500000000000004</v>
      </c>
      <c r="AJ19" s="45">
        <f t="shared" si="35"/>
        <v>17.689357031165791</v>
      </c>
      <c r="AK19">
        <f t="shared" si="28"/>
        <v>13.96035481220796</v>
      </c>
      <c r="AL19">
        <f t="shared" si="10"/>
        <v>163.82055944635707</v>
      </c>
      <c r="AM19">
        <f t="shared" si="36"/>
        <v>34.068764873283953</v>
      </c>
      <c r="AN19">
        <f t="shared" si="11"/>
        <v>2651.0529575641931</v>
      </c>
      <c r="AP19" s="41" t="s">
        <v>32</v>
      </c>
      <c r="AQ19">
        <v>0.6</v>
      </c>
      <c r="AR19" s="46">
        <f t="shared" si="12"/>
        <v>14.061600000000002</v>
      </c>
      <c r="AS19">
        <f t="shared" si="29"/>
        <v>12.241565924833123</v>
      </c>
      <c r="AT19">
        <f t="shared" si="13"/>
        <v>82.069801847683962</v>
      </c>
      <c r="AU19">
        <f t="shared" si="37"/>
        <v>34.068764873283953</v>
      </c>
      <c r="AV19">
        <f t="shared" si="14"/>
        <v>1328.1079716142312</v>
      </c>
      <c r="AX19">
        <f t="shared" si="30"/>
        <v>9.6</v>
      </c>
      <c r="AY19">
        <f t="shared" si="15"/>
        <v>35.231999999999999</v>
      </c>
      <c r="AZ19">
        <f t="shared" si="16"/>
        <v>31.513155480846631</v>
      </c>
      <c r="BA19">
        <f t="shared" si="17"/>
        <v>7.4055915379989576</v>
      </c>
      <c r="BB19">
        <f t="shared" si="18"/>
        <v>38.918747018845586</v>
      </c>
      <c r="BC19">
        <f t="shared" si="19"/>
        <v>74.150747018845578</v>
      </c>
      <c r="BH19">
        <f t="shared" si="20"/>
        <v>204.41258923970372</v>
      </c>
      <c r="BI19" s="30">
        <f t="shared" si="21"/>
        <v>13.921789224188194</v>
      </c>
      <c r="BJ19" s="30">
        <f t="shared" si="22"/>
        <v>13.921789224188196</v>
      </c>
    </row>
    <row r="20" spans="1:62">
      <c r="A20" s="39">
        <v>13</v>
      </c>
      <c r="B20" s="40" t="s">
        <v>104</v>
      </c>
      <c r="C20">
        <v>0.54</v>
      </c>
      <c r="D20" s="45">
        <f t="shared" si="38"/>
        <v>19.25187717144134</v>
      </c>
      <c r="E20">
        <f t="shared" si="23"/>
        <v>14.6402116670026</v>
      </c>
      <c r="F20">
        <f t="shared" si="0"/>
        <v>162.81598818689812</v>
      </c>
      <c r="G20">
        <f t="shared" si="31"/>
        <v>33.898421048917534</v>
      </c>
      <c r="H20">
        <f t="shared" si="1"/>
        <v>2621.6223375011514</v>
      </c>
      <c r="J20" s="40" t="s">
        <v>105</v>
      </c>
      <c r="K20">
        <v>0.82699999999999996</v>
      </c>
      <c r="L20" s="46">
        <f t="shared" si="2"/>
        <v>14.508000000000001</v>
      </c>
      <c r="M20">
        <f t="shared" si="24"/>
        <v>10</v>
      </c>
      <c r="N20">
        <f t="shared" si="3"/>
        <v>97.939610633079951</v>
      </c>
      <c r="O20">
        <f t="shared" si="32"/>
        <v>33.898421048917534</v>
      </c>
      <c r="P20">
        <f t="shared" si="4"/>
        <v>1576.9991253384128</v>
      </c>
      <c r="R20" s="40" t="s">
        <v>106</v>
      </c>
      <c r="S20">
        <v>0.83399999999999996</v>
      </c>
      <c r="T20" s="45">
        <f t="shared" si="5"/>
        <v>10.034699999999999</v>
      </c>
      <c r="U20">
        <f t="shared" si="25"/>
        <v>8</v>
      </c>
      <c r="V20">
        <f t="shared" si="6"/>
        <v>38.674573456783939</v>
      </c>
      <c r="W20">
        <f t="shared" si="33"/>
        <v>33.898421048917534</v>
      </c>
      <c r="X20">
        <f t="shared" si="26"/>
        <v>622.72831308954221</v>
      </c>
      <c r="Z20" s="40" t="s">
        <v>107</v>
      </c>
      <c r="AA20">
        <v>0.83</v>
      </c>
      <c r="AB20" s="46">
        <f t="shared" si="7"/>
        <v>11.606400000000001</v>
      </c>
      <c r="AC20">
        <f t="shared" si="27"/>
        <v>4</v>
      </c>
      <c r="AD20">
        <f t="shared" si="8"/>
        <v>25.997729462803917</v>
      </c>
      <c r="AE20">
        <f t="shared" si="34"/>
        <v>33.898421048917534</v>
      </c>
      <c r="AF20">
        <f t="shared" si="9"/>
        <v>418.60894033183854</v>
      </c>
      <c r="AH20" s="40" t="s">
        <v>108</v>
      </c>
      <c r="AI20">
        <v>0.67500000000000004</v>
      </c>
      <c r="AJ20" s="45">
        <f t="shared" si="35"/>
        <v>18.459659234441144</v>
      </c>
      <c r="AK20">
        <f t="shared" si="28"/>
        <v>14.299538088674256</v>
      </c>
      <c r="AL20">
        <f t="shared" si="10"/>
        <v>182.25457962307632</v>
      </c>
      <c r="AM20">
        <f t="shared" si="36"/>
        <v>33.898421048917534</v>
      </c>
      <c r="AN20">
        <f t="shared" si="11"/>
        <v>2934.6176771243408</v>
      </c>
      <c r="AP20" s="41" t="s">
        <v>32</v>
      </c>
      <c r="AQ20">
        <v>0.6</v>
      </c>
      <c r="AR20" s="46">
        <f t="shared" si="12"/>
        <v>15.2334</v>
      </c>
      <c r="AS20">
        <f t="shared" si="29"/>
        <v>12.820735191957533</v>
      </c>
      <c r="AT20">
        <f t="shared" si="13"/>
        <v>100.3767540947417</v>
      </c>
      <c r="AU20">
        <f t="shared" si="37"/>
        <v>33.898421048917534</v>
      </c>
      <c r="AV20">
        <f t="shared" si="14"/>
        <v>1616.2414000679253</v>
      </c>
      <c r="AX20">
        <f t="shared" si="30"/>
        <v>10.4</v>
      </c>
      <c r="AY20">
        <f t="shared" si="15"/>
        <v>38.167999999999999</v>
      </c>
      <c r="AZ20">
        <f t="shared" si="16"/>
        <v>35.932301301973283</v>
      </c>
      <c r="BA20">
        <f t="shared" si="17"/>
        <v>8.4440908059637216</v>
      </c>
      <c r="BB20">
        <f t="shared" si="18"/>
        <v>44.376392107937008</v>
      </c>
      <c r="BC20">
        <f t="shared" si="19"/>
        <v>82.544392107937</v>
      </c>
      <c r="BH20">
        <f t="shared" si="20"/>
        <v>203.39052629350519</v>
      </c>
      <c r="BI20">
        <f t="shared" si="21"/>
        <v>14.849006067647082</v>
      </c>
      <c r="BJ20">
        <f t="shared" si="22"/>
        <v>14.849006067647084</v>
      </c>
    </row>
    <row r="21" spans="1:62">
      <c r="A21" s="39">
        <v>14</v>
      </c>
      <c r="B21" s="40" t="s">
        <v>104</v>
      </c>
      <c r="C21">
        <v>0.54</v>
      </c>
      <c r="D21" s="45">
        <f t="shared" si="38"/>
        <v>20.030057567077868</v>
      </c>
      <c r="E21">
        <f t="shared" si="23"/>
        <v>14.967251141154106</v>
      </c>
      <c r="F21">
        <f t="shared" si="0"/>
        <v>179.7436928592638</v>
      </c>
      <c r="G21">
        <f t="shared" si="31"/>
        <v>33.728928943672948</v>
      </c>
      <c r="H21">
        <f t="shared" si="1"/>
        <v>2879.7170661486543</v>
      </c>
      <c r="J21" s="40" t="s">
        <v>105</v>
      </c>
      <c r="K21">
        <v>0.82699999999999996</v>
      </c>
      <c r="L21" s="46">
        <f t="shared" si="2"/>
        <v>15.624000000000002</v>
      </c>
      <c r="M21">
        <f t="shared" si="24"/>
        <v>10</v>
      </c>
      <c r="N21">
        <f t="shared" si="3"/>
        <v>113.18343626827794</v>
      </c>
      <c r="O21">
        <f t="shared" si="32"/>
        <v>33.728928943672948</v>
      </c>
      <c r="P21">
        <f t="shared" si="4"/>
        <v>1813.3391377594039</v>
      </c>
      <c r="R21" s="40" t="s">
        <v>106</v>
      </c>
      <c r="S21">
        <v>0.83399999999999996</v>
      </c>
      <c r="T21" s="45">
        <f t="shared" si="5"/>
        <v>10.8066</v>
      </c>
      <c r="U21">
        <f t="shared" si="25"/>
        <v>8</v>
      </c>
      <c r="V21">
        <f t="shared" si="6"/>
        <v>44.694083341293783</v>
      </c>
      <c r="W21">
        <f t="shared" si="33"/>
        <v>33.728928943672948</v>
      </c>
      <c r="X21">
        <f t="shared" si="26"/>
        <v>716.05469158001995</v>
      </c>
      <c r="Z21" s="40" t="s">
        <v>107</v>
      </c>
      <c r="AA21">
        <v>0.83</v>
      </c>
      <c r="AB21" s="46">
        <f t="shared" si="7"/>
        <v>12.4992</v>
      </c>
      <c r="AC21">
        <f t="shared" si="27"/>
        <v>4</v>
      </c>
      <c r="AD21">
        <f t="shared" si="8"/>
        <v>30.044150030338596</v>
      </c>
      <c r="AE21">
        <f t="shared" si="34"/>
        <v>33.728928943672948</v>
      </c>
      <c r="AF21">
        <f t="shared" si="9"/>
        <v>481.34457573451147</v>
      </c>
      <c r="AH21" s="40" t="s">
        <v>108</v>
      </c>
      <c r="AI21">
        <v>0.67500000000000004</v>
      </c>
      <c r="AJ21" s="45">
        <f t="shared" si="35"/>
        <v>19.172847679578592</v>
      </c>
      <c r="AK21">
        <f t="shared" si="28"/>
        <v>14.60658479924488</v>
      </c>
      <c r="AL21">
        <f t="shared" si="10"/>
        <v>200.36384099779482</v>
      </c>
      <c r="AM21">
        <f t="shared" si="36"/>
        <v>33.728928943672948</v>
      </c>
      <c r="AN21">
        <f t="shared" si="11"/>
        <v>3210.0774340506027</v>
      </c>
      <c r="AP21" s="41" t="s">
        <v>32</v>
      </c>
      <c r="AQ21">
        <v>0.6</v>
      </c>
      <c r="AR21" s="46">
        <f t="shared" si="12"/>
        <v>16.405200000000001</v>
      </c>
      <c r="AS21">
        <f t="shared" si="29"/>
        <v>13.376166828123095</v>
      </c>
      <c r="AT21">
        <f t="shared" si="13"/>
        <v>120.90223973529106</v>
      </c>
      <c r="AU21">
        <f t="shared" si="37"/>
        <v>33.728928943672948</v>
      </c>
      <c r="AV21">
        <f t="shared" si="14"/>
        <v>1937.0039502522086</v>
      </c>
      <c r="AX21">
        <f t="shared" si="30"/>
        <v>11.200000000000001</v>
      </c>
      <c r="AY21">
        <f t="shared" si="15"/>
        <v>41.104000000000006</v>
      </c>
      <c r="AZ21">
        <f t="shared" si="16"/>
        <v>40.507760259778216</v>
      </c>
      <c r="BA21">
        <f t="shared" si="17"/>
        <v>9.5193236610478795</v>
      </c>
      <c r="BB21">
        <f t="shared" si="18"/>
        <v>50.027083920826094</v>
      </c>
      <c r="BC21">
        <f t="shared" si="19"/>
        <v>91.1310839208261</v>
      </c>
      <c r="BH21">
        <f t="shared" si="20"/>
        <v>202.37357366203767</v>
      </c>
      <c r="BI21">
        <f t="shared" si="21"/>
        <v>15.756317541109411</v>
      </c>
      <c r="BJ21">
        <f t="shared" si="22"/>
        <v>15.756317541109413</v>
      </c>
    </row>
    <row r="22" spans="1:62">
      <c r="A22" s="39">
        <v>15</v>
      </c>
      <c r="B22" s="40" t="s">
        <v>104</v>
      </c>
      <c r="C22">
        <v>0.54</v>
      </c>
      <c r="D22" s="45">
        <f t="shared" si="38"/>
        <v>20.7545261831999</v>
      </c>
      <c r="E22">
        <f t="shared" si="23"/>
        <v>15.265313768315215</v>
      </c>
      <c r="F22">
        <f t="shared" si="0"/>
        <v>196.39589323218738</v>
      </c>
      <c r="G22">
        <f t="shared" si="31"/>
        <v>33.560284298954585</v>
      </c>
      <c r="H22">
        <f t="shared" si="1"/>
        <v>3130.7734557091858</v>
      </c>
      <c r="J22" s="40" t="s">
        <v>105</v>
      </c>
      <c r="K22">
        <v>0.82699999999999996</v>
      </c>
      <c r="L22" s="46">
        <f t="shared" si="2"/>
        <v>16.740000000000002</v>
      </c>
      <c r="M22">
        <f t="shared" si="24"/>
        <v>10</v>
      </c>
      <c r="N22">
        <f t="shared" si="3"/>
        <v>129.50039320758682</v>
      </c>
      <c r="O22">
        <f t="shared" si="32"/>
        <v>33.560284298954585</v>
      </c>
      <c r="P22">
        <f t="shared" si="4"/>
        <v>2064.3832561146851</v>
      </c>
      <c r="R22" s="40" t="s">
        <v>106</v>
      </c>
      <c r="S22">
        <v>0.83399999999999996</v>
      </c>
      <c r="T22" s="45">
        <f t="shared" si="5"/>
        <v>11.5785</v>
      </c>
      <c r="U22">
        <f t="shared" si="25"/>
        <v>8</v>
      </c>
      <c r="V22">
        <f t="shared" si="6"/>
        <v>51.137353287553388</v>
      </c>
      <c r="W22">
        <f t="shared" si="33"/>
        <v>33.560284298954585</v>
      </c>
      <c r="X22">
        <f t="shared" si="26"/>
        <v>815.18745444752653</v>
      </c>
      <c r="Z22" s="40" t="s">
        <v>107</v>
      </c>
      <c r="AA22">
        <v>0.83</v>
      </c>
      <c r="AB22" s="46">
        <f t="shared" si="7"/>
        <v>13.391999999999999</v>
      </c>
      <c r="AC22">
        <f t="shared" si="27"/>
        <v>4</v>
      </c>
      <c r="AD22">
        <f t="shared" si="8"/>
        <v>34.375429575175772</v>
      </c>
      <c r="AE22">
        <f t="shared" si="34"/>
        <v>33.560284298954585</v>
      </c>
      <c r="AF22">
        <f t="shared" si="9"/>
        <v>547.98336498475555</v>
      </c>
      <c r="AH22" s="40" t="s">
        <v>108</v>
      </c>
      <c r="AI22">
        <v>0.67500000000000004</v>
      </c>
      <c r="AJ22" s="45">
        <f t="shared" si="35"/>
        <v>19.836810237335275</v>
      </c>
      <c r="AK22">
        <f t="shared" si="28"/>
        <v>14.886716120856725</v>
      </c>
      <c r="AL22">
        <f t="shared" si="10"/>
        <v>218.13849317001043</v>
      </c>
      <c r="AM22">
        <f t="shared" si="36"/>
        <v>33.560284298954585</v>
      </c>
      <c r="AN22">
        <f t="shared" si="11"/>
        <v>3477.3751774822786</v>
      </c>
      <c r="AP22" s="41" t="s">
        <v>32</v>
      </c>
      <c r="AQ22">
        <v>0.6</v>
      </c>
      <c r="AR22" s="46">
        <f t="shared" si="12"/>
        <v>17.576999999999998</v>
      </c>
      <c r="AS22">
        <f t="shared" si="29"/>
        <v>13.910198760198945</v>
      </c>
      <c r="AT22">
        <f t="shared" si="13"/>
        <v>143.71965878871572</v>
      </c>
      <c r="AU22">
        <f t="shared" si="37"/>
        <v>33.560284298954585</v>
      </c>
      <c r="AV22">
        <f t="shared" si="14"/>
        <v>2291.0544889415719</v>
      </c>
      <c r="AX22">
        <f t="shared" si="30"/>
        <v>12.000000000000002</v>
      </c>
      <c r="AY22">
        <f t="shared" si="15"/>
        <v>44.040000000000006</v>
      </c>
      <c r="AZ22">
        <f t="shared" si="16"/>
        <v>45.239198915485602</v>
      </c>
      <c r="BA22">
        <f t="shared" si="17"/>
        <v>10.631211745139115</v>
      </c>
      <c r="BB22">
        <f t="shared" si="18"/>
        <v>55.870410660624714</v>
      </c>
      <c r="BC22">
        <f t="shared" si="19"/>
        <v>99.91041066062472</v>
      </c>
      <c r="BH22">
        <f t="shared" si="20"/>
        <v>201.36170579372748</v>
      </c>
      <c r="BI22" s="30">
        <f t="shared" si="21"/>
        <v>16.646472736755861</v>
      </c>
      <c r="BJ22" s="30">
        <f t="shared" si="22"/>
        <v>16.646472736755864</v>
      </c>
    </row>
    <row r="23" spans="1:62">
      <c r="A23" s="39">
        <v>16</v>
      </c>
      <c r="B23" s="40" t="s">
        <v>104</v>
      </c>
      <c r="C23">
        <v>0.54</v>
      </c>
      <c r="D23" s="45">
        <f t="shared" si="38"/>
        <v>21.432221314412715</v>
      </c>
      <c r="E23">
        <f t="shared" si="23"/>
        <v>15.538819653032037</v>
      </c>
      <c r="F23">
        <f t="shared" si="0"/>
        <v>212.76417953336323</v>
      </c>
      <c r="G23">
        <f t="shared" si="31"/>
        <v>33.392482877459813</v>
      </c>
      <c r="H23">
        <f t="shared" si="1"/>
        <v>3374.7440054521931</v>
      </c>
      <c r="J23" s="40" t="s">
        <v>105</v>
      </c>
      <c r="K23">
        <v>0.82699999999999996</v>
      </c>
      <c r="L23" s="46">
        <f t="shared" si="2"/>
        <v>17.856000000000002</v>
      </c>
      <c r="M23">
        <f t="shared" si="24"/>
        <v>10</v>
      </c>
      <c r="N23">
        <f t="shared" si="3"/>
        <v>146.88693053111686</v>
      </c>
      <c r="O23">
        <f t="shared" si="32"/>
        <v>33.392482877459813</v>
      </c>
      <c r="P23">
        <f t="shared" si="4"/>
        <v>2329.8366735244003</v>
      </c>
      <c r="R23" s="40" t="s">
        <v>106</v>
      </c>
      <c r="S23">
        <v>0.83399999999999996</v>
      </c>
      <c r="T23" s="45">
        <f t="shared" si="5"/>
        <v>12.3504</v>
      </c>
      <c r="U23">
        <f t="shared" si="25"/>
        <v>8</v>
      </c>
      <c r="V23">
        <f t="shared" si="6"/>
        <v>58.002981101789963</v>
      </c>
      <c r="W23">
        <f t="shared" si="33"/>
        <v>33.392482877459813</v>
      </c>
      <c r="X23">
        <f t="shared" si="26"/>
        <v>920.0101878094946</v>
      </c>
      <c r="Z23" s="40" t="s">
        <v>107</v>
      </c>
      <c r="AA23">
        <v>0.83</v>
      </c>
      <c r="AB23" s="46">
        <f t="shared" si="7"/>
        <v>14.284800000000001</v>
      </c>
      <c r="AC23">
        <f t="shared" si="27"/>
        <v>4</v>
      </c>
      <c r="AD23">
        <f t="shared" si="8"/>
        <v>38.990625517964254</v>
      </c>
      <c r="AE23">
        <f t="shared" si="34"/>
        <v>33.392482877459813</v>
      </c>
      <c r="AF23">
        <f t="shared" si="9"/>
        <v>618.44705262028276</v>
      </c>
      <c r="AH23" s="40" t="s">
        <v>108</v>
      </c>
      <c r="AI23">
        <v>0.67500000000000004</v>
      </c>
      <c r="AJ23" s="45">
        <f t="shared" si="35"/>
        <v>20.45790573089565</v>
      </c>
      <c r="AK23">
        <f t="shared" si="28"/>
        <v>15.144002991533222</v>
      </c>
      <c r="AL23">
        <f t="shared" si="10"/>
        <v>235.57622959191133</v>
      </c>
      <c r="AM23">
        <f t="shared" si="36"/>
        <v>33.392482877459813</v>
      </c>
      <c r="AN23">
        <f t="shared" si="11"/>
        <v>3736.5757261676094</v>
      </c>
      <c r="AP23" s="41" t="s">
        <v>32</v>
      </c>
      <c r="AQ23">
        <v>0.6</v>
      </c>
      <c r="AR23" s="46">
        <f t="shared" si="12"/>
        <v>18.748800000000003</v>
      </c>
      <c r="AS23">
        <f t="shared" si="29"/>
        <v>14.424809057927686</v>
      </c>
      <c r="AT23">
        <f t="shared" si="13"/>
        <v>168.89871355933315</v>
      </c>
      <c r="AU23">
        <f t="shared" si="37"/>
        <v>33.392482877459813</v>
      </c>
      <c r="AV23">
        <f t="shared" si="14"/>
        <v>2678.9750152636352</v>
      </c>
      <c r="AX23">
        <f t="shared" si="30"/>
        <v>12.800000000000002</v>
      </c>
      <c r="AY23">
        <f t="shared" si="15"/>
        <v>46.976000000000006</v>
      </c>
      <c r="AZ23">
        <f t="shared" si="16"/>
        <v>50.127020385274051</v>
      </c>
      <c r="BA23">
        <f t="shared" si="17"/>
        <v>11.779849790539402</v>
      </c>
      <c r="BB23">
        <f t="shared" si="18"/>
        <v>61.906870175813452</v>
      </c>
      <c r="BC23">
        <f t="shared" si="19"/>
        <v>108.88287017581345</v>
      </c>
      <c r="BH23">
        <f t="shared" si="20"/>
        <v>200.3548972647589</v>
      </c>
      <c r="BI23">
        <f t="shared" si="21"/>
        <v>17.521687840884727</v>
      </c>
      <c r="BJ23">
        <f t="shared" si="22"/>
        <v>17.521687840884727</v>
      </c>
    </row>
    <row r="24" spans="1:62">
      <c r="A24" s="39">
        <v>17</v>
      </c>
      <c r="B24" s="40" t="s">
        <v>104</v>
      </c>
      <c r="C24">
        <v>0.54</v>
      </c>
      <c r="D24" s="45">
        <f t="shared" si="38"/>
        <v>22.068818036997026</v>
      </c>
      <c r="E24">
        <f t="shared" si="23"/>
        <v>15.79127109665221</v>
      </c>
      <c r="F24">
        <f t="shared" si="0"/>
        <v>228.84593640566257</v>
      </c>
      <c r="G24">
        <f t="shared" si="31"/>
        <v>33.225520463072513</v>
      </c>
      <c r="H24">
        <f t="shared" si="1"/>
        <v>3611.6745378952328</v>
      </c>
      <c r="J24" s="40" t="s">
        <v>105</v>
      </c>
      <c r="K24">
        <v>0.82699999999999996</v>
      </c>
      <c r="L24" s="46">
        <f t="shared" si="2"/>
        <v>18.972000000000001</v>
      </c>
      <c r="M24">
        <f t="shared" si="24"/>
        <v>10</v>
      </c>
      <c r="N24">
        <f t="shared" si="3"/>
        <v>165.33973755746391</v>
      </c>
      <c r="O24">
        <f t="shared" si="32"/>
        <v>33.225520463072513</v>
      </c>
      <c r="P24">
        <f t="shared" si="4"/>
        <v>2609.4119459479139</v>
      </c>
      <c r="R24" s="40" t="s">
        <v>106</v>
      </c>
      <c r="S24">
        <v>0.83399999999999996</v>
      </c>
      <c r="T24" s="45">
        <f t="shared" si="5"/>
        <v>13.122300000000001</v>
      </c>
      <c r="U24">
        <f t="shared" si="25"/>
        <v>8</v>
      </c>
      <c r="V24">
        <f t="shared" si="6"/>
        <v>65.289659456045968</v>
      </c>
      <c r="W24">
        <f t="shared" si="33"/>
        <v>33.225520463072513</v>
      </c>
      <c r="X24">
        <f t="shared" si="26"/>
        <v>1030.4093852348483</v>
      </c>
      <c r="Z24" s="40" t="s">
        <v>107</v>
      </c>
      <c r="AA24">
        <v>0.83</v>
      </c>
      <c r="AB24" s="46">
        <f t="shared" si="7"/>
        <v>15.177600000000002</v>
      </c>
      <c r="AC24">
        <f t="shared" si="27"/>
        <v>4</v>
      </c>
      <c r="AD24">
        <f t="shared" si="8"/>
        <v>43.888859049824596</v>
      </c>
      <c r="AE24">
        <f t="shared" si="34"/>
        <v>33.225520463072513</v>
      </c>
      <c r="AF24">
        <f t="shared" si="9"/>
        <v>692.65933761890483</v>
      </c>
      <c r="AH24" s="40" t="s">
        <v>108</v>
      </c>
      <c r="AI24">
        <v>0.67500000000000004</v>
      </c>
      <c r="AJ24" s="45">
        <f t="shared" si="35"/>
        <v>21.041335266393169</v>
      </c>
      <c r="AK24">
        <f t="shared" si="28"/>
        <v>15.381677353823644</v>
      </c>
      <c r="AL24">
        <f t="shared" si="10"/>
        <v>252.67962842345005</v>
      </c>
      <c r="AM24">
        <f t="shared" si="36"/>
        <v>33.225520463072513</v>
      </c>
      <c r="AN24">
        <f t="shared" si="11"/>
        <v>3987.8207782728268</v>
      </c>
      <c r="AP24" s="41" t="s">
        <v>32</v>
      </c>
      <c r="AQ24">
        <v>0.6</v>
      </c>
      <c r="AR24" s="46">
        <f t="shared" si="12"/>
        <v>19.920600000000004</v>
      </c>
      <c r="AS24">
        <f t="shared" si="29"/>
        <v>14.921689404974222</v>
      </c>
      <c r="AT24">
        <f t="shared" si="13"/>
        <v>196.50579519819286</v>
      </c>
      <c r="AU24">
        <f t="shared" si="37"/>
        <v>33.225520463072513</v>
      </c>
      <c r="AV24">
        <f t="shared" si="14"/>
        <v>3101.2784767481994</v>
      </c>
      <c r="AX24">
        <f t="shared" si="30"/>
        <v>13.600000000000003</v>
      </c>
      <c r="AY24">
        <f t="shared" si="15"/>
        <v>49.912000000000013</v>
      </c>
      <c r="AZ24">
        <f t="shared" si="16"/>
        <v>55.17204387450478</v>
      </c>
      <c r="BA24">
        <f t="shared" si="17"/>
        <v>12.965430310508623</v>
      </c>
      <c r="BB24">
        <f t="shared" si="18"/>
        <v>68.137474185013403</v>
      </c>
      <c r="BC24">
        <f t="shared" si="19"/>
        <v>118.04947418501342</v>
      </c>
      <c r="BH24">
        <f t="shared" si="20"/>
        <v>199.35312277843508</v>
      </c>
      <c r="BI24">
        <f t="shared" si="21"/>
        <v>18.383775550565034</v>
      </c>
      <c r="BJ24">
        <f t="shared" si="22"/>
        <v>18.383775550565034</v>
      </c>
    </row>
    <row r="25" spans="1:62">
      <c r="A25" s="39">
        <v>18</v>
      </c>
      <c r="B25" s="40" t="s">
        <v>104</v>
      </c>
      <c r="C25">
        <v>0.54</v>
      </c>
      <c r="D25" s="45">
        <f t="shared" si="38"/>
        <v>22.669017392117201</v>
      </c>
      <c r="E25">
        <f t="shared" si="23"/>
        <v>16.02548750295103</v>
      </c>
      <c r="F25">
        <f t="shared" si="0"/>
        <v>244.64242646334893</v>
      </c>
      <c r="G25">
        <f t="shared" si="31"/>
        <v>33.05939286075715</v>
      </c>
      <c r="H25">
        <f t="shared" si="1"/>
        <v>3841.6717912588529</v>
      </c>
      <c r="J25" s="40" t="s">
        <v>105</v>
      </c>
      <c r="K25">
        <v>0.82699999999999996</v>
      </c>
      <c r="L25" s="46">
        <f t="shared" si="2"/>
        <v>20.087999999999997</v>
      </c>
      <c r="M25">
        <f t="shared" si="24"/>
        <v>10</v>
      </c>
      <c r="N25">
        <f t="shared" si="3"/>
        <v>184.8557139804071</v>
      </c>
      <c r="O25">
        <f t="shared" si="32"/>
        <v>33.05939286075715</v>
      </c>
      <c r="P25">
        <f t="shared" si="4"/>
        <v>2902.828393741167</v>
      </c>
      <c r="R25" s="40" t="s">
        <v>106</v>
      </c>
      <c r="S25">
        <v>0.83399999999999996</v>
      </c>
      <c r="T25" s="45">
        <f t="shared" si="5"/>
        <v>13.8942</v>
      </c>
      <c r="U25">
        <f t="shared" si="25"/>
        <v>8</v>
      </c>
      <c r="V25">
        <f t="shared" si="6"/>
        <v>72.99616409570244</v>
      </c>
      <c r="W25">
        <f t="shared" si="33"/>
        <v>33.05939286075715</v>
      </c>
      <c r="X25">
        <f t="shared" si="26"/>
        <v>1146.2742114298583</v>
      </c>
      <c r="Z25" s="40" t="s">
        <v>107</v>
      </c>
      <c r="AA25">
        <v>0.83</v>
      </c>
      <c r="AB25" s="46">
        <f t="shared" si="7"/>
        <v>16.070400000000003</v>
      </c>
      <c r="AC25">
        <f t="shared" si="27"/>
        <v>4</v>
      </c>
      <c r="AD25">
        <f t="shared" si="8"/>
        <v>49.069307205238964</v>
      </c>
      <c r="AE25">
        <f t="shared" si="34"/>
        <v>33.05939286075715</v>
      </c>
      <c r="AF25">
        <f t="shared" si="9"/>
        <v>770.54571454400866</v>
      </c>
      <c r="AH25" s="40" t="s">
        <v>108</v>
      </c>
      <c r="AI25">
        <v>0.67500000000000004</v>
      </c>
      <c r="AJ25" s="45">
        <f t="shared" si="35"/>
        <v>21.591407264159848</v>
      </c>
      <c r="AK25">
        <f t="shared" si="28"/>
        <v>15.60234541724947</v>
      </c>
      <c r="AL25">
        <f t="shared" si="10"/>
        <v>269.45440677238594</v>
      </c>
      <c r="AM25">
        <f t="shared" si="36"/>
        <v>33.05939286075715</v>
      </c>
      <c r="AN25">
        <f t="shared" si="11"/>
        <v>4231.29956848652</v>
      </c>
      <c r="AP25" s="41" t="s">
        <v>32</v>
      </c>
      <c r="AQ25">
        <v>0.6</v>
      </c>
      <c r="AR25" s="46">
        <f t="shared" si="12"/>
        <v>21.092400000000001</v>
      </c>
      <c r="AS25">
        <f t="shared" si="29"/>
        <v>15.402300253381059</v>
      </c>
      <c r="AT25">
        <f t="shared" si="13"/>
        <v>226.60430979137314</v>
      </c>
      <c r="AU25">
        <f t="shared" si="37"/>
        <v>33.05939286075715</v>
      </c>
      <c r="AV25">
        <f t="shared" si="14"/>
        <v>3558.4154281335182</v>
      </c>
      <c r="AX25">
        <f t="shared" si="30"/>
        <v>14.400000000000004</v>
      </c>
      <c r="AY25">
        <f t="shared" si="15"/>
        <v>52.848000000000013</v>
      </c>
      <c r="AZ25">
        <f t="shared" si="16"/>
        <v>60.375298844869704</v>
      </c>
      <c r="BA25">
        <f t="shared" si="17"/>
        <v>14.18819522854438</v>
      </c>
      <c r="BB25">
        <f t="shared" si="18"/>
        <v>74.563494073414091</v>
      </c>
      <c r="BC25">
        <f t="shared" si="19"/>
        <v>127.4114940734141</v>
      </c>
      <c r="BH25">
        <f t="shared" si="20"/>
        <v>198.35635716454291</v>
      </c>
      <c r="BI25">
        <f t="shared" si="21"/>
        <v>19.234237442712839</v>
      </c>
      <c r="BJ25">
        <f t="shared" si="22"/>
        <v>19.234237442712839</v>
      </c>
    </row>
    <row r="26" spans="1:62">
      <c r="A26" s="39">
        <v>19</v>
      </c>
      <c r="B26" s="40" t="s">
        <v>104</v>
      </c>
      <c r="C26">
        <v>0.54</v>
      </c>
      <c r="D26" s="45">
        <f t="shared" si="38"/>
        <v>23.2367572778045</v>
      </c>
      <c r="E26">
        <f t="shared" si="23"/>
        <v>16.243770114164416</v>
      </c>
      <c r="F26">
        <f t="shared" si="0"/>
        <v>260.15749514326512</v>
      </c>
      <c r="G26">
        <f t="shared" si="31"/>
        <v>32.894095896453365</v>
      </c>
      <c r="H26">
        <f t="shared" si="1"/>
        <v>4064.88165687624</v>
      </c>
      <c r="J26" s="40" t="s">
        <v>105</v>
      </c>
      <c r="K26">
        <v>0.82699999999999996</v>
      </c>
      <c r="L26" s="46">
        <f t="shared" si="2"/>
        <v>21.204000000000001</v>
      </c>
      <c r="M26">
        <f t="shared" si="24"/>
        <v>10</v>
      </c>
      <c r="N26">
        <f t="shared" si="3"/>
        <v>205.43194521847624</v>
      </c>
      <c r="O26">
        <f t="shared" si="32"/>
        <v>32.894095896453365</v>
      </c>
      <c r="P26">
        <f t="shared" si="4"/>
        <v>3209.8116004504682</v>
      </c>
      <c r="R26" s="40" t="s">
        <v>106</v>
      </c>
      <c r="S26">
        <v>0.83399999999999996</v>
      </c>
      <c r="T26" s="45">
        <f t="shared" si="5"/>
        <v>14.6661</v>
      </c>
      <c r="U26">
        <f t="shared" si="25"/>
        <v>8</v>
      </c>
      <c r="V26">
        <f t="shared" si="6"/>
        <v>81.121344105471707</v>
      </c>
      <c r="W26">
        <f t="shared" si="33"/>
        <v>32.894095896453365</v>
      </c>
      <c r="X26">
        <f t="shared" si="26"/>
        <v>1267.4963043209245</v>
      </c>
      <c r="Z26" s="40" t="s">
        <v>107</v>
      </c>
      <c r="AA26">
        <v>0.83</v>
      </c>
      <c r="AB26" s="46">
        <f t="shared" si="7"/>
        <v>16.963200000000001</v>
      </c>
      <c r="AC26">
        <f t="shared" si="27"/>
        <v>4</v>
      </c>
      <c r="AD26">
        <f t="shared" si="8"/>
        <v>54.531196318679477</v>
      </c>
      <c r="AE26">
        <f t="shared" si="34"/>
        <v>32.894095896453365</v>
      </c>
      <c r="AF26">
        <f t="shared" si="9"/>
        <v>852.03334050110948</v>
      </c>
      <c r="AH26" s="40" t="s">
        <v>108</v>
      </c>
      <c r="AI26">
        <v>0.67500000000000004</v>
      </c>
      <c r="AJ26" s="45">
        <f t="shared" si="35"/>
        <v>22.111730737465329</v>
      </c>
      <c r="AK26">
        <f t="shared" si="28"/>
        <v>15.808137626519624</v>
      </c>
      <c r="AL26">
        <f t="shared" si="10"/>
        <v>285.90825883694964</v>
      </c>
      <c r="AM26">
        <f t="shared" si="36"/>
        <v>32.894095896453365</v>
      </c>
      <c r="AN26">
        <f t="shared" si="11"/>
        <v>4467.2294997910503</v>
      </c>
      <c r="AP26" s="41" t="s">
        <v>32</v>
      </c>
      <c r="AQ26">
        <v>0.6</v>
      </c>
      <c r="AR26" s="46">
        <f t="shared" si="12"/>
        <v>22.264200000000002</v>
      </c>
      <c r="AS26">
        <f t="shared" si="29"/>
        <v>15.867912970911281</v>
      </c>
      <c r="AT26">
        <f t="shared" si="13"/>
        <v>259.25495629573891</v>
      </c>
      <c r="AU26">
        <f t="shared" si="37"/>
        <v>32.894095896453365</v>
      </c>
      <c r="AV26">
        <f t="shared" si="14"/>
        <v>4050.7797621608593</v>
      </c>
      <c r="AX26">
        <f t="shared" si="30"/>
        <v>15.200000000000005</v>
      </c>
      <c r="AY26">
        <f t="shared" si="15"/>
        <v>55.784000000000013</v>
      </c>
      <c r="AZ26">
        <f t="shared" si="16"/>
        <v>65.737892042249399</v>
      </c>
      <c r="BA26">
        <f t="shared" si="17"/>
        <v>15.448404629928607</v>
      </c>
      <c r="BB26">
        <f t="shared" si="18"/>
        <v>81.186296672178003</v>
      </c>
      <c r="BC26">
        <f t="shared" si="19"/>
        <v>136.97029667217802</v>
      </c>
      <c r="BH26">
        <f t="shared" si="20"/>
        <v>197.36457537872019</v>
      </c>
      <c r="BI26">
        <f t="shared" si="21"/>
        <v>20.074331335878306</v>
      </c>
      <c r="BJ26">
        <f t="shared" si="22"/>
        <v>20.074331335878306</v>
      </c>
    </row>
    <row r="27" spans="1:62">
      <c r="A27" s="39">
        <v>20</v>
      </c>
      <c r="B27" s="40" t="s">
        <v>104</v>
      </c>
      <c r="C27">
        <v>0.54</v>
      </c>
      <c r="D27" s="45">
        <f t="shared" si="38"/>
        <v>23.775369183649239</v>
      </c>
      <c r="E27">
        <f t="shared" si="23"/>
        <v>16.448020216457568</v>
      </c>
      <c r="F27">
        <f t="shared" si="0"/>
        <v>275.39668458036738</v>
      </c>
      <c r="G27">
        <f t="shared" si="31"/>
        <v>32.729625416971096</v>
      </c>
      <c r="H27">
        <f t="shared" si="1"/>
        <v>4281.4744055108022</v>
      </c>
      <c r="J27" s="40" t="s">
        <v>105</v>
      </c>
      <c r="K27">
        <v>0.82699999999999996</v>
      </c>
      <c r="L27" s="46">
        <f t="shared" si="2"/>
        <v>22.32</v>
      </c>
      <c r="M27">
        <f t="shared" si="24"/>
        <v>10</v>
      </c>
      <c r="N27">
        <f t="shared" si="3"/>
        <v>227.06568183354321</v>
      </c>
      <c r="O27">
        <f t="shared" si="32"/>
        <v>32.729625416971096</v>
      </c>
      <c r="P27">
        <f t="shared" si="4"/>
        <v>3530.0929879439786</v>
      </c>
      <c r="R27" s="40" t="s">
        <v>106</v>
      </c>
      <c r="S27">
        <v>0.83399999999999996</v>
      </c>
      <c r="T27" s="45">
        <f t="shared" si="5"/>
        <v>15.437999999999999</v>
      </c>
      <c r="U27">
        <f t="shared" si="25"/>
        <v>8</v>
      </c>
      <c r="V27">
        <f t="shared" si="6"/>
        <v>89.664113782172009</v>
      </c>
      <c r="W27">
        <f t="shared" si="33"/>
        <v>32.729625416971096</v>
      </c>
      <c r="X27">
        <f t="shared" si="26"/>
        <v>1393.9696072817035</v>
      </c>
      <c r="Z27" s="40" t="s">
        <v>107</v>
      </c>
      <c r="AA27">
        <v>0.83</v>
      </c>
      <c r="AB27" s="46">
        <f t="shared" si="7"/>
        <v>17.856000000000002</v>
      </c>
      <c r="AC27">
        <f t="shared" si="27"/>
        <v>4</v>
      </c>
      <c r="AD27">
        <f t="shared" si="8"/>
        <v>60.273796561344646</v>
      </c>
      <c r="AE27">
        <f t="shared" si="34"/>
        <v>32.729625416971096</v>
      </c>
      <c r="AF27">
        <f t="shared" si="9"/>
        <v>937.05092235797713</v>
      </c>
      <c r="AH27" s="40" t="s">
        <v>108</v>
      </c>
      <c r="AI27">
        <v>0.67500000000000004</v>
      </c>
      <c r="AJ27" s="45">
        <f t="shared" si="35"/>
        <v>22.60535893706513</v>
      </c>
      <c r="AK27">
        <f t="shared" si="28"/>
        <v>16.000816527841334</v>
      </c>
      <c r="AL27">
        <f t="shared" si="10"/>
        <v>302.05007476161535</v>
      </c>
      <c r="AM27">
        <f t="shared" si="36"/>
        <v>32.729625416971096</v>
      </c>
      <c r="AN27">
        <f t="shared" si="11"/>
        <v>4695.8432569549977</v>
      </c>
      <c r="AP27" s="41" t="s">
        <v>32</v>
      </c>
      <c r="AQ27">
        <v>0.6</v>
      </c>
      <c r="AR27" s="46">
        <f t="shared" si="12"/>
        <v>23.436</v>
      </c>
      <c r="AS27">
        <f t="shared" si="29"/>
        <v>16.319642557476318</v>
      </c>
      <c r="AT27">
        <f t="shared" si="13"/>
        <v>294.51596560581584</v>
      </c>
      <c r="AU27">
        <f t="shared" si="37"/>
        <v>32.729625416971096</v>
      </c>
      <c r="AV27">
        <f t="shared" si="14"/>
        <v>4578.7136859580496</v>
      </c>
      <c r="AX27">
        <f t="shared" si="30"/>
        <v>16.000000000000004</v>
      </c>
      <c r="AY27">
        <f t="shared" si="15"/>
        <v>58.720000000000013</v>
      </c>
      <c r="AZ27">
        <f t="shared" si="16"/>
        <v>71.260921658247568</v>
      </c>
      <c r="BA27">
        <f t="shared" si="17"/>
        <v>16.746316589688178</v>
      </c>
      <c r="BB27">
        <f t="shared" si="18"/>
        <v>88.007238247935746</v>
      </c>
      <c r="BC27">
        <f t="shared" si="19"/>
        <v>146.72723824793576</v>
      </c>
      <c r="BH27">
        <f t="shared" si="20"/>
        <v>196.37775250182656</v>
      </c>
      <c r="BI27">
        <f t="shared" si="21"/>
        <v>20.905121353452397</v>
      </c>
      <c r="BJ27">
        <f t="shared" si="22"/>
        <v>20.905121353452397</v>
      </c>
    </row>
    <row r="28" spans="1:62">
      <c r="A28" s="39">
        <v>21</v>
      </c>
      <c r="B28" s="40" t="s">
        <v>104</v>
      </c>
      <c r="C28">
        <v>0.54</v>
      </c>
      <c r="D28" s="45">
        <f t="shared" si="38"/>
        <v>24.287696645231712</v>
      </c>
      <c r="E28">
        <f t="shared" si="23"/>
        <v>16.639825679741538</v>
      </c>
      <c r="F28">
        <f t="shared" si="0"/>
        <v>290.36662151336645</v>
      </c>
      <c r="G28">
        <f t="shared" si="31"/>
        <v>32.565977289886241</v>
      </c>
      <c r="H28">
        <f t="shared" si="1"/>
        <v>4491.6345809240102</v>
      </c>
      <c r="J28" s="40" t="s">
        <v>105</v>
      </c>
      <c r="K28">
        <v>0.82699999999999996</v>
      </c>
      <c r="L28" s="46">
        <f t="shared" si="2"/>
        <v>23.436</v>
      </c>
      <c r="M28">
        <f t="shared" si="24"/>
        <v>10</v>
      </c>
      <c r="N28">
        <f t="shared" si="3"/>
        <v>249.7543221716756</v>
      </c>
      <c r="O28">
        <f t="shared" si="32"/>
        <v>32.565977289886241</v>
      </c>
      <c r="P28">
        <f t="shared" si="4"/>
        <v>3863.4094523495164</v>
      </c>
      <c r="R28" s="40" t="s">
        <v>106</v>
      </c>
      <c r="S28">
        <v>0.83399999999999996</v>
      </c>
      <c r="T28" s="45">
        <f t="shared" si="5"/>
        <v>16.209900000000001</v>
      </c>
      <c r="U28">
        <f t="shared" si="25"/>
        <v>8</v>
      </c>
      <c r="V28">
        <f t="shared" si="6"/>
        <v>98.623445779917333</v>
      </c>
      <c r="W28">
        <f t="shared" si="33"/>
        <v>32.565977289886241</v>
      </c>
      <c r="X28">
        <f t="shared" si="26"/>
        <v>1525.5902253715794</v>
      </c>
      <c r="Z28" s="40" t="s">
        <v>107</v>
      </c>
      <c r="AA28">
        <v>0.83</v>
      </c>
      <c r="AB28" s="46">
        <f t="shared" si="7"/>
        <v>18.748800000000003</v>
      </c>
      <c r="AC28">
        <f t="shared" si="27"/>
        <v>4</v>
      </c>
      <c r="AD28">
        <f t="shared" si="8"/>
        <v>66.296417333235027</v>
      </c>
      <c r="AE28">
        <f t="shared" si="34"/>
        <v>32.565977289886241</v>
      </c>
      <c r="AF28">
        <f t="shared" si="9"/>
        <v>1025.5286201056024</v>
      </c>
      <c r="AH28" s="40" t="s">
        <v>108</v>
      </c>
      <c r="AI28">
        <v>0.67500000000000004</v>
      </c>
      <c r="AJ28" s="45">
        <f t="shared" si="35"/>
        <v>23.074897912572649</v>
      </c>
      <c r="AK28">
        <f t="shared" si="28"/>
        <v>16.181855905790385</v>
      </c>
      <c r="AL28">
        <f t="shared" si="10"/>
        <v>317.88941195725431</v>
      </c>
      <c r="AM28">
        <f t="shared" si="36"/>
        <v>32.565977289886241</v>
      </c>
      <c r="AN28">
        <f t="shared" si="11"/>
        <v>4917.3802009852361</v>
      </c>
      <c r="AP28" s="41" t="s">
        <v>32</v>
      </c>
      <c r="AQ28">
        <v>0.6</v>
      </c>
      <c r="AR28" s="46">
        <f t="shared" si="12"/>
        <v>24.607800000000001</v>
      </c>
      <c r="AS28">
        <f t="shared" si="29"/>
        <v>16.758473396776001</v>
      </c>
      <c r="AT28">
        <f t="shared" si="13"/>
        <v>332.44330786434716</v>
      </c>
      <c r="AU28">
        <f t="shared" si="37"/>
        <v>32.565977289886241</v>
      </c>
      <c r="AV28">
        <f t="shared" si="14"/>
        <v>5142.5120766903701</v>
      </c>
      <c r="AX28">
        <f t="shared" si="30"/>
        <v>16.800000000000004</v>
      </c>
      <c r="AY28">
        <f t="shared" si="15"/>
        <v>61.656000000000013</v>
      </c>
      <c r="AZ28">
        <f t="shared" si="16"/>
        <v>76.945422424084583</v>
      </c>
      <c r="BA28">
        <f t="shared" si="17"/>
        <v>18.082174269659877</v>
      </c>
      <c r="BB28">
        <f t="shared" si="18"/>
        <v>95.027596693744457</v>
      </c>
      <c r="BC28">
        <f t="shared" si="19"/>
        <v>156.68359669374448</v>
      </c>
      <c r="BH28">
        <f t="shared" si="20"/>
        <v>195.39586373931743</v>
      </c>
      <c r="BI28">
        <f t="shared" si="21"/>
        <v>21.727515759634063</v>
      </c>
      <c r="BJ28">
        <f t="shared" si="22"/>
        <v>21.727515759634059</v>
      </c>
    </row>
    <row r="29" spans="1:62">
      <c r="A29" s="39">
        <v>22</v>
      </c>
      <c r="B29" s="40" t="s">
        <v>104</v>
      </c>
      <c r="C29">
        <v>0.54</v>
      </c>
      <c r="D29" s="45">
        <f t="shared" si="38"/>
        <v>24.776186117007938</v>
      </c>
      <c r="E29">
        <f t="shared" si="23"/>
        <v>16.820525451076954</v>
      </c>
      <c r="F29">
        <f t="shared" si="0"/>
        <v>305.07459158995442</v>
      </c>
      <c r="G29">
        <f t="shared" si="31"/>
        <v>32.403147403436812</v>
      </c>
      <c r="H29">
        <f t="shared" si="1"/>
        <v>4695.5540561579746</v>
      </c>
      <c r="J29" s="40" t="s">
        <v>105</v>
      </c>
      <c r="K29">
        <v>0.82699999999999996</v>
      </c>
      <c r="L29" s="46">
        <f t="shared" si="2"/>
        <v>24.552</v>
      </c>
      <c r="M29">
        <f t="shared" si="24"/>
        <v>10</v>
      </c>
      <c r="N29">
        <f t="shared" si="3"/>
        <v>273.49539758862562</v>
      </c>
      <c r="O29">
        <f t="shared" si="32"/>
        <v>32.403147403436812</v>
      </c>
      <c r="P29">
        <f t="shared" si="4"/>
        <v>4209.5030490572517</v>
      </c>
      <c r="R29" s="40" t="s">
        <v>106</v>
      </c>
      <c r="S29">
        <v>0.83399999999999996</v>
      </c>
      <c r="T29" s="45">
        <f t="shared" si="5"/>
        <v>16.9818</v>
      </c>
      <c r="U29">
        <f t="shared" si="25"/>
        <v>8</v>
      </c>
      <c r="V29">
        <f t="shared" si="6"/>
        <v>107.99836527592912</v>
      </c>
      <c r="W29">
        <f t="shared" si="33"/>
        <v>32.403147403436812</v>
      </c>
      <c r="X29">
        <f t="shared" si="26"/>
        <v>1662.2563009489179</v>
      </c>
      <c r="Z29" s="40" t="s">
        <v>107</v>
      </c>
      <c r="AA29">
        <v>0.83</v>
      </c>
      <c r="AB29" s="46">
        <f t="shared" si="7"/>
        <v>19.6416</v>
      </c>
      <c r="AC29">
        <f t="shared" si="27"/>
        <v>4</v>
      </c>
      <c r="AD29">
        <f t="shared" si="8"/>
        <v>72.598403341308909</v>
      </c>
      <c r="AE29">
        <f t="shared" si="34"/>
        <v>32.403147403436812</v>
      </c>
      <c r="AF29">
        <f t="shared" si="9"/>
        <v>1117.3979632432313</v>
      </c>
      <c r="AH29" s="40" t="s">
        <v>108</v>
      </c>
      <c r="AI29">
        <v>0.67500000000000004</v>
      </c>
      <c r="AJ29" s="45">
        <f t="shared" si="35"/>
        <v>23.522589795837231</v>
      </c>
      <c r="AK29">
        <f t="shared" si="28"/>
        <v>16.352499870291144</v>
      </c>
      <c r="AL29">
        <f t="shared" si="10"/>
        <v>333.43613626620379</v>
      </c>
      <c r="AM29">
        <f t="shared" si="36"/>
        <v>32.403147403436812</v>
      </c>
      <c r="AN29">
        <f t="shared" si="11"/>
        <v>5132.0806297064655</v>
      </c>
      <c r="AP29" s="41" t="s">
        <v>32</v>
      </c>
      <c r="AQ29">
        <v>0.6</v>
      </c>
      <c r="AR29" s="46">
        <f t="shared" si="12"/>
        <v>25.779600000000002</v>
      </c>
      <c r="AS29">
        <f t="shared" si="29"/>
        <v>17.18527977959457</v>
      </c>
      <c r="AT29">
        <f t="shared" si="13"/>
        <v>373.09087354689774</v>
      </c>
      <c r="AU29">
        <f t="shared" si="37"/>
        <v>32.403147403436812</v>
      </c>
      <c r="AV29">
        <f t="shared" si="14"/>
        <v>5742.4263209481378</v>
      </c>
      <c r="AX29">
        <f t="shared" si="30"/>
        <v>17.600000000000005</v>
      </c>
      <c r="AY29">
        <f t="shared" si="15"/>
        <v>64.592000000000013</v>
      </c>
      <c r="AZ29">
        <f t="shared" si="16"/>
        <v>82.79233123462744</v>
      </c>
      <c r="BA29">
        <f t="shared" si="17"/>
        <v>19.456197840137449</v>
      </c>
      <c r="BB29">
        <f t="shared" si="18"/>
        <v>102.24852907476489</v>
      </c>
      <c r="BC29">
        <f t="shared" si="19"/>
        <v>166.8405290747649</v>
      </c>
      <c r="BH29">
        <f t="shared" si="20"/>
        <v>194.41888442062086</v>
      </c>
      <c r="BI29">
        <f t="shared" si="21"/>
        <v>22.542295985474198</v>
      </c>
      <c r="BJ29">
        <f t="shared" si="22"/>
        <v>22.542295985474198</v>
      </c>
    </row>
    <row r="30" spans="1:62">
      <c r="A30" s="39">
        <v>23</v>
      </c>
      <c r="B30" s="40" t="s">
        <v>104</v>
      </c>
      <c r="C30">
        <v>0.54</v>
      </c>
      <c r="D30" s="45">
        <f t="shared" si="38"/>
        <v>25.24295762861211</v>
      </c>
      <c r="E30">
        <f t="shared" si="23"/>
        <v>16.991258385531776</v>
      </c>
      <c r="F30">
        <f t="shared" si="0"/>
        <v>319.52824213951317</v>
      </c>
      <c r="G30">
        <f t="shared" si="31"/>
        <v>32.241131666419626</v>
      </c>
      <c r="H30">
        <f t="shared" si="1"/>
        <v>4893.4272598308371</v>
      </c>
      <c r="J30" s="40" t="s">
        <v>105</v>
      </c>
      <c r="K30">
        <v>0.82699999999999996</v>
      </c>
      <c r="L30" s="46">
        <f t="shared" si="2"/>
        <v>25.667999999999999</v>
      </c>
      <c r="M30">
        <f t="shared" si="24"/>
        <v>10</v>
      </c>
      <c r="N30">
        <f t="shared" si="3"/>
        <v>298.28655977239299</v>
      </c>
      <c r="O30">
        <f t="shared" si="32"/>
        <v>32.241131666419626</v>
      </c>
      <c r="P30">
        <f t="shared" si="4"/>
        <v>4568.1207177739079</v>
      </c>
      <c r="R30" s="40" t="s">
        <v>106</v>
      </c>
      <c r="S30">
        <v>0.83399999999999996</v>
      </c>
      <c r="T30" s="45">
        <f t="shared" si="5"/>
        <v>17.753700000000002</v>
      </c>
      <c r="U30">
        <f t="shared" si="25"/>
        <v>8</v>
      </c>
      <c r="V30">
        <f t="shared" si="6"/>
        <v>117.78794496444922</v>
      </c>
      <c r="W30">
        <f t="shared" si="33"/>
        <v>32.241131666419626</v>
      </c>
      <c r="X30">
        <f t="shared" si="26"/>
        <v>1803.8679051000031</v>
      </c>
      <c r="Z30" s="40" t="s">
        <v>107</v>
      </c>
      <c r="AA30">
        <v>0.83</v>
      </c>
      <c r="AB30" s="46">
        <f t="shared" si="7"/>
        <v>20.534399999999998</v>
      </c>
      <c r="AC30">
        <f t="shared" si="27"/>
        <v>4</v>
      </c>
      <c r="AD30">
        <f t="shared" si="8"/>
        <v>79.179131234302901</v>
      </c>
      <c r="AE30">
        <f t="shared" si="34"/>
        <v>32.241131666419626</v>
      </c>
      <c r="AF30">
        <f t="shared" si="9"/>
        <v>1212.5917777949921</v>
      </c>
      <c r="AH30" s="40" t="s">
        <v>108</v>
      </c>
      <c r="AI30">
        <v>0.67500000000000004</v>
      </c>
      <c r="AJ30" s="45">
        <f t="shared" si="35"/>
        <v>23.95037755618441</v>
      </c>
      <c r="AK30">
        <f t="shared" si="28"/>
        <v>16.513807669233465</v>
      </c>
      <c r="AL30">
        <f t="shared" si="10"/>
        <v>348.70017877962732</v>
      </c>
      <c r="AM30">
        <f t="shared" si="36"/>
        <v>32.241131666419626</v>
      </c>
      <c r="AN30">
        <f t="shared" si="11"/>
        <v>5340.1819786655633</v>
      </c>
      <c r="AP30" s="41" t="s">
        <v>32</v>
      </c>
      <c r="AQ30">
        <v>0.6</v>
      </c>
      <c r="AR30" s="46">
        <f t="shared" si="12"/>
        <v>26.951400000000003</v>
      </c>
      <c r="AS30">
        <f t="shared" si="29"/>
        <v>17.600842444347176</v>
      </c>
      <c r="AT30">
        <f t="shared" si="13"/>
        <v>416.51063267766847</v>
      </c>
      <c r="AU30">
        <f t="shared" si="37"/>
        <v>32.241131666419626</v>
      </c>
      <c r="AV30">
        <f t="shared" si="14"/>
        <v>6378.6677205966134</v>
      </c>
      <c r="AX30">
        <f t="shared" si="30"/>
        <v>18.400000000000006</v>
      </c>
      <c r="AY30">
        <f t="shared" si="15"/>
        <v>67.52800000000002</v>
      </c>
      <c r="AZ30">
        <f t="shared" si="16"/>
        <v>88.802466510326241</v>
      </c>
      <c r="BA30">
        <f t="shared" si="17"/>
        <v>20.868579629926664</v>
      </c>
      <c r="BB30">
        <f t="shared" si="18"/>
        <v>109.67104614025291</v>
      </c>
      <c r="BC30">
        <f t="shared" si="19"/>
        <v>177.19904614025293</v>
      </c>
      <c r="BH30">
        <f t="shared" si="20"/>
        <v>193.44678999851774</v>
      </c>
      <c r="BI30">
        <f t="shared" si="21"/>
        <v>23.350139197466088</v>
      </c>
      <c r="BJ30">
        <f t="shared" si="22"/>
        <v>23.350139197466095</v>
      </c>
    </row>
    <row r="31" spans="1:62">
      <c r="A31" s="39">
        <v>24</v>
      </c>
      <c r="B31" s="40" t="s">
        <v>104</v>
      </c>
      <c r="C31">
        <v>0.54</v>
      </c>
      <c r="D31" s="45">
        <f t="shared" si="38"/>
        <v>25.689860392566548</v>
      </c>
      <c r="E31">
        <f t="shared" si="23"/>
        <v>17.153000747259977</v>
      </c>
      <c r="F31">
        <f t="shared" si="0"/>
        <v>333.73537448759299</v>
      </c>
      <c r="G31">
        <f t="shared" si="31"/>
        <v>32.079926008087526</v>
      </c>
      <c r="H31">
        <f t="shared" si="1"/>
        <v>5085.4479069255976</v>
      </c>
      <c r="J31" s="40" t="s">
        <v>105</v>
      </c>
      <c r="K31">
        <v>0.82699999999999996</v>
      </c>
      <c r="L31" s="46">
        <f t="shared" si="2"/>
        <v>26.783999999999999</v>
      </c>
      <c r="M31">
        <f t="shared" si="24"/>
        <v>10</v>
      </c>
      <c r="N31">
        <f t="shared" si="3"/>
        <v>324.12556978497622</v>
      </c>
      <c r="O31">
        <f t="shared" si="32"/>
        <v>32.079926008087526</v>
      </c>
      <c r="P31">
        <f t="shared" si="4"/>
        <v>4939.0140406148421</v>
      </c>
      <c r="R31" s="40" t="s">
        <v>106</v>
      </c>
      <c r="S31">
        <v>0.83399999999999996</v>
      </c>
      <c r="T31" s="45">
        <f t="shared" si="5"/>
        <v>18.525600000000001</v>
      </c>
      <c r="U31">
        <f t="shared" si="25"/>
        <v>8</v>
      </c>
      <c r="V31">
        <f t="shared" si="6"/>
        <v>127.99130072952413</v>
      </c>
      <c r="W31">
        <f t="shared" si="33"/>
        <v>32.079926008087526</v>
      </c>
      <c r="X31">
        <f t="shared" si="26"/>
        <v>1950.326942113956</v>
      </c>
      <c r="Z31" s="40" t="s">
        <v>107</v>
      </c>
      <c r="AA31">
        <v>0.83</v>
      </c>
      <c r="AB31" s="46">
        <f t="shared" si="7"/>
        <v>21.427199999999999</v>
      </c>
      <c r="AC31">
        <f t="shared" si="27"/>
        <v>4</v>
      </c>
      <c r="AD31">
        <f t="shared" si="8"/>
        <v>86.038006693901039</v>
      </c>
      <c r="AE31">
        <f t="shared" si="34"/>
        <v>32.079926008087526</v>
      </c>
      <c r="AF31">
        <f t="shared" si="9"/>
        <v>1311.0441220962502</v>
      </c>
      <c r="AH31" s="40" t="s">
        <v>108</v>
      </c>
      <c r="AI31">
        <v>0.67500000000000004</v>
      </c>
      <c r="AJ31" s="45">
        <f t="shared" si="35"/>
        <v>24.359955963889707</v>
      </c>
      <c r="AK31">
        <f t="shared" si="28"/>
        <v>16.666688155854548</v>
      </c>
      <c r="AL31">
        <f t="shared" si="10"/>
        <v>363.69137219079721</v>
      </c>
      <c r="AM31">
        <f t="shared" si="36"/>
        <v>32.079926008087526</v>
      </c>
      <c r="AN31">
        <f t="shared" si="11"/>
        <v>5541.9163470887825</v>
      </c>
      <c r="AP31" s="41" t="s">
        <v>32</v>
      </c>
      <c r="AQ31">
        <v>0.6</v>
      </c>
      <c r="AR31" s="46">
        <f t="shared" si="12"/>
        <v>28.123200000000004</v>
      </c>
      <c r="AS31">
        <f t="shared" si="29"/>
        <v>18.005862043401031</v>
      </c>
      <c r="AT31">
        <f t="shared" si="13"/>
        <v>462.75277565032161</v>
      </c>
      <c r="AU31">
        <f t="shared" si="37"/>
        <v>32.079926008087526</v>
      </c>
      <c r="AV31">
        <f t="shared" si="14"/>
        <v>7051.4105313772352</v>
      </c>
      <c r="AX31">
        <f t="shared" si="30"/>
        <v>19.200000000000006</v>
      </c>
      <c r="AY31">
        <f t="shared" si="15"/>
        <v>70.464000000000027</v>
      </c>
      <c r="AZ31">
        <f t="shared" si="16"/>
        <v>94.976516797095144</v>
      </c>
      <c r="BA31">
        <f t="shared" si="17"/>
        <v>22.319481447317358</v>
      </c>
      <c r="BB31">
        <f t="shared" si="18"/>
        <v>117.2959982444125</v>
      </c>
      <c r="BC31">
        <f t="shared" si="19"/>
        <v>187.75999824441254</v>
      </c>
      <c r="BH31">
        <f t="shared" si="20"/>
        <v>192.47955604852513</v>
      </c>
      <c r="BI31">
        <f t="shared" si="21"/>
        <v>24.151636059409373</v>
      </c>
      <c r="BJ31">
        <f t="shared" si="22"/>
        <v>24.15163605940938</v>
      </c>
    </row>
    <row r="32" spans="1:62">
      <c r="A32" s="39">
        <v>25</v>
      </c>
      <c r="B32" s="40" t="s">
        <v>104</v>
      </c>
      <c r="C32">
        <v>0.54</v>
      </c>
      <c r="D32" s="45">
        <f t="shared" si="38"/>
        <v>26.118517052885775</v>
      </c>
      <c r="E32">
        <f t="shared" si="23"/>
        <v>17.3065953810524</v>
      </c>
      <c r="F32">
        <f t="shared" si="0"/>
        <v>347.70379927599828</v>
      </c>
      <c r="G32">
        <f t="shared" si="31"/>
        <v>31.919526378047088</v>
      </c>
      <c r="H32">
        <f t="shared" si="1"/>
        <v>5271.8067815502727</v>
      </c>
      <c r="J32" s="40" t="s">
        <v>105</v>
      </c>
      <c r="K32">
        <v>0.82699999999999996</v>
      </c>
      <c r="L32" s="46">
        <f t="shared" si="2"/>
        <v>27.900000000000002</v>
      </c>
      <c r="M32">
        <f t="shared" si="24"/>
        <v>10</v>
      </c>
      <c r="N32">
        <f t="shared" si="3"/>
        <v>351.01028852672175</v>
      </c>
      <c r="O32">
        <f t="shared" si="32"/>
        <v>31.919526378047088</v>
      </c>
      <c r="P32">
        <f t="shared" si="4"/>
        <v>5321.9390277074417</v>
      </c>
      <c r="R32" s="40" t="s">
        <v>106</v>
      </c>
      <c r="S32">
        <v>0.83399999999999996</v>
      </c>
      <c r="T32" s="45">
        <f t="shared" si="5"/>
        <v>19.297499999999999</v>
      </c>
      <c r="U32">
        <f t="shared" si="25"/>
        <v>8</v>
      </c>
      <c r="V32">
        <f t="shared" si="6"/>
        <v>138.60758787955101</v>
      </c>
      <c r="W32">
        <f t="shared" si="33"/>
        <v>31.919526378047088</v>
      </c>
      <c r="X32">
        <f t="shared" si="26"/>
        <v>2101.5370648214339</v>
      </c>
      <c r="Z32" s="40" t="s">
        <v>107</v>
      </c>
      <c r="AA32">
        <v>0.83</v>
      </c>
      <c r="AB32" s="46">
        <f t="shared" si="7"/>
        <v>22.32</v>
      </c>
      <c r="AC32">
        <f t="shared" si="27"/>
        <v>4</v>
      </c>
      <c r="AD32">
        <f t="shared" si="8"/>
        <v>93.174461903529988</v>
      </c>
      <c r="AE32">
        <f t="shared" si="34"/>
        <v>31.919526378047088</v>
      </c>
      <c r="AF32">
        <f t="shared" si="9"/>
        <v>1412.6902298827827</v>
      </c>
      <c r="AH32" s="40" t="s">
        <v>108</v>
      </c>
      <c r="AI32">
        <v>0.67500000000000004</v>
      </c>
      <c r="AJ32" s="45">
        <f t="shared" si="35"/>
        <v>24.752812143234614</v>
      </c>
      <c r="AK32">
        <f t="shared" si="28"/>
        <v>16.811926637380438</v>
      </c>
      <c r="AL32">
        <f t="shared" si="10"/>
        <v>378.41934227524661</v>
      </c>
      <c r="AM32">
        <f t="shared" si="36"/>
        <v>31.919526378047088</v>
      </c>
      <c r="AN32">
        <f t="shared" si="11"/>
        <v>5737.5089344160333</v>
      </c>
      <c r="AP32" s="41" t="s">
        <v>32</v>
      </c>
      <c r="AQ32">
        <v>0.6</v>
      </c>
      <c r="AR32" s="46">
        <f t="shared" si="12"/>
        <v>29.295000000000002</v>
      </c>
      <c r="AS32">
        <f t="shared" si="29"/>
        <v>18.400970207893788</v>
      </c>
      <c r="AT32">
        <f t="shared" si="13"/>
        <v>511.86583845315869</v>
      </c>
      <c r="AU32">
        <f t="shared" si="37"/>
        <v>31.919526378047088</v>
      </c>
      <c r="AV32">
        <f t="shared" si="14"/>
        <v>7760.7946879502242</v>
      </c>
      <c r="AX32">
        <f t="shared" si="30"/>
        <v>20.000000000000007</v>
      </c>
      <c r="AY32">
        <f t="shared" si="15"/>
        <v>73.40000000000002</v>
      </c>
      <c r="AZ32">
        <f t="shared" si="16"/>
        <v>101.31503558562446</v>
      </c>
      <c r="BA32">
        <f t="shared" si="17"/>
        <v>23.809033362621747</v>
      </c>
      <c r="BB32">
        <f t="shared" si="18"/>
        <v>125.1240689482462</v>
      </c>
      <c r="BC32">
        <f t="shared" si="19"/>
        <v>198.52406894824622</v>
      </c>
      <c r="BH32">
        <f t="shared" si="20"/>
        <v>191.51715826828254</v>
      </c>
      <c r="BI32">
        <f t="shared" si="21"/>
        <v>24.947304866020062</v>
      </c>
      <c r="BJ32">
        <f t="shared" si="22"/>
        <v>24.947304866020062</v>
      </c>
    </row>
    <row r="33" spans="1:62">
      <c r="A33" s="39">
        <v>26</v>
      </c>
      <c r="B33" s="40" t="s">
        <v>104</v>
      </c>
      <c r="C33">
        <v>0.54</v>
      </c>
      <c r="D33" s="45">
        <f t="shared" si="38"/>
        <v>26.530359250044516</v>
      </c>
      <c r="E33">
        <f t="shared" si="23"/>
        <v>17.452774669749278</v>
      </c>
      <c r="F33">
        <f t="shared" si="0"/>
        <v>361.44123646386686</v>
      </c>
      <c r="G33">
        <f t="shared" si="31"/>
        <v>31.759928746156852</v>
      </c>
      <c r="H33">
        <f t="shared" si="1"/>
        <v>5452.6902601072397</v>
      </c>
      <c r="J33" s="40" t="s">
        <v>105</v>
      </c>
      <c r="K33">
        <v>0.82699999999999996</v>
      </c>
      <c r="L33" s="46">
        <f t="shared" si="2"/>
        <v>29.016000000000002</v>
      </c>
      <c r="M33">
        <f t="shared" si="24"/>
        <v>10</v>
      </c>
      <c r="N33">
        <f t="shared" si="3"/>
        <v>378.93866838793258</v>
      </c>
      <c r="O33">
        <f t="shared" si="32"/>
        <v>31.759928746156852</v>
      </c>
      <c r="P33">
        <f t="shared" si="4"/>
        <v>5716.6559259030419</v>
      </c>
      <c r="R33" s="40" t="s">
        <v>106</v>
      </c>
      <c r="S33">
        <v>0.83399999999999996</v>
      </c>
      <c r="T33" s="45">
        <f t="shared" si="5"/>
        <v>20.069399999999998</v>
      </c>
      <c r="U33">
        <f t="shared" si="25"/>
        <v>8</v>
      </c>
      <c r="V33">
        <f t="shared" si="6"/>
        <v>149.63599785064937</v>
      </c>
      <c r="W33">
        <f t="shared" si="33"/>
        <v>31.759928746156852</v>
      </c>
      <c r="X33">
        <f t="shared" si="26"/>
        <v>2257.4035990584343</v>
      </c>
      <c r="Z33" s="40" t="s">
        <v>107</v>
      </c>
      <c r="AA33">
        <v>0.83</v>
      </c>
      <c r="AB33" s="46">
        <f t="shared" si="7"/>
        <v>23.212800000000001</v>
      </c>
      <c r="AC33">
        <f t="shared" si="27"/>
        <v>4</v>
      </c>
      <c r="AD33">
        <f t="shared" si="8"/>
        <v>100.58795333230778</v>
      </c>
      <c r="AE33">
        <f t="shared" si="34"/>
        <v>31.759928746156852</v>
      </c>
      <c r="AF33">
        <f t="shared" si="9"/>
        <v>1517.4664595140266</v>
      </c>
      <c r="AH33" s="40" t="s">
        <v>108</v>
      </c>
      <c r="AI33">
        <v>0.67500000000000004</v>
      </c>
      <c r="AJ33" s="45">
        <f t="shared" si="35"/>
        <v>25.13025816716506</v>
      </c>
      <c r="AK33">
        <f t="shared" si="28"/>
        <v>16.950206030958984</v>
      </c>
      <c r="AL33">
        <f t="shared" si="10"/>
        <v>392.89343779698783</v>
      </c>
      <c r="AM33">
        <f t="shared" si="36"/>
        <v>31.759928746156852</v>
      </c>
      <c r="AN33">
        <f t="shared" si="11"/>
        <v>5927.1771049008476</v>
      </c>
      <c r="AP33" s="41" t="s">
        <v>32</v>
      </c>
      <c r="AQ33">
        <v>0.6</v>
      </c>
      <c r="AR33" s="46">
        <f t="shared" si="12"/>
        <v>30.466799999999999</v>
      </c>
      <c r="AS33">
        <f t="shared" si="29"/>
        <v>18.786738716022015</v>
      </c>
      <c r="AT33">
        <f t="shared" si="13"/>
        <v>563.89681457649795</v>
      </c>
      <c r="AU33">
        <f t="shared" si="37"/>
        <v>31.759928746156852</v>
      </c>
      <c r="AV33">
        <f t="shared" si="14"/>
        <v>8506.9282592888376</v>
      </c>
      <c r="AX33">
        <f t="shared" si="30"/>
        <v>20.800000000000008</v>
      </c>
      <c r="AY33">
        <f t="shared" si="15"/>
        <v>76.336000000000027</v>
      </c>
      <c r="AZ33">
        <f t="shared" si="16"/>
        <v>107.81844030419479</v>
      </c>
      <c r="BA33">
        <f t="shared" si="17"/>
        <v>25.337333471485774</v>
      </c>
      <c r="BB33">
        <f t="shared" si="18"/>
        <v>133.15577377568056</v>
      </c>
      <c r="BC33">
        <f t="shared" si="19"/>
        <v>209.4917737756806</v>
      </c>
      <c r="BH33">
        <f t="shared" si="20"/>
        <v>190.5595724769411</v>
      </c>
      <c r="BI33">
        <f t="shared" si="21"/>
        <v>25.737602902868264</v>
      </c>
      <c r="BJ33">
        <f t="shared" si="22"/>
        <v>25.737602902868261</v>
      </c>
    </row>
    <row r="34" spans="1:62">
      <c r="A34" s="39">
        <v>27</v>
      </c>
      <c r="B34" s="40" t="s">
        <v>104</v>
      </c>
      <c r="C34">
        <v>0.54</v>
      </c>
      <c r="D34" s="45">
        <f t="shared" si="38"/>
        <v>26.926656470271041</v>
      </c>
      <c r="E34">
        <f t="shared" si="23"/>
        <v>17.592178793582946</v>
      </c>
      <c r="F34">
        <f t="shared" si="0"/>
        <v>374.9552472098822</v>
      </c>
      <c r="G34">
        <f t="shared" si="31"/>
        <v>31.601129102426068</v>
      </c>
      <c r="H34">
        <f t="shared" si="1"/>
        <v>5628.2793579879954</v>
      </c>
      <c r="J34" s="40" t="s">
        <v>105</v>
      </c>
      <c r="K34">
        <v>0.82699999999999996</v>
      </c>
      <c r="L34" s="46">
        <f t="shared" si="2"/>
        <v>30.132000000000001</v>
      </c>
      <c r="M34">
        <f t="shared" si="24"/>
        <v>10</v>
      </c>
      <c r="N34">
        <f t="shared" si="3"/>
        <v>407.90874589904587</v>
      </c>
      <c r="O34">
        <f t="shared" si="32"/>
        <v>31.601129102426068</v>
      </c>
      <c r="P34">
        <f t="shared" si="4"/>
        <v>6122.9290470531178</v>
      </c>
      <c r="R34" s="40" t="s">
        <v>106</v>
      </c>
      <c r="S34">
        <v>0.83399999999999996</v>
      </c>
      <c r="T34" s="45">
        <f t="shared" si="5"/>
        <v>20.8413</v>
      </c>
      <c r="U34">
        <f t="shared" si="25"/>
        <v>8</v>
      </c>
      <c r="V34">
        <f t="shared" si="6"/>
        <v>161.07575530434991</v>
      </c>
      <c r="W34">
        <f t="shared" si="33"/>
        <v>31.601129102426068</v>
      </c>
      <c r="X34">
        <f t="shared" si="26"/>
        <v>2417.8334758556871</v>
      </c>
      <c r="Z34" s="40" t="s">
        <v>107</v>
      </c>
      <c r="AA34">
        <v>0.83</v>
      </c>
      <c r="AB34" s="46">
        <f t="shared" si="7"/>
        <v>24.105599999999999</v>
      </c>
      <c r="AC34">
        <f t="shared" si="27"/>
        <v>4</v>
      </c>
      <c r="AD34">
        <f t="shared" si="8"/>
        <v>108.27795978405895</v>
      </c>
      <c r="AE34">
        <f t="shared" si="34"/>
        <v>31.601129102426068</v>
      </c>
      <c r="AF34">
        <f t="shared" si="9"/>
        <v>1625.3102483895887</v>
      </c>
      <c r="AH34" s="40" t="s">
        <v>108</v>
      </c>
      <c r="AI34">
        <v>0.67500000000000004</v>
      </c>
      <c r="AJ34" s="45">
        <f t="shared" si="35"/>
        <v>25.493457497153905</v>
      </c>
      <c r="AK34">
        <f t="shared" si="28"/>
        <v>17.082123709627528</v>
      </c>
      <c r="AL34">
        <f t="shared" si="10"/>
        <v>407.12268729084104</v>
      </c>
      <c r="AM34">
        <f t="shared" si="36"/>
        <v>31.601129102426068</v>
      </c>
      <c r="AN34">
        <f t="shared" si="11"/>
        <v>6111.1298857621396</v>
      </c>
      <c r="AP34" s="41" t="s">
        <v>32</v>
      </c>
      <c r="AQ34">
        <v>0.6</v>
      </c>
      <c r="AR34" s="46">
        <f t="shared" si="12"/>
        <v>31.638600000000004</v>
      </c>
      <c r="AS34">
        <f t="shared" si="29"/>
        <v>19.163687148605575</v>
      </c>
      <c r="AT34">
        <f t="shared" si="13"/>
        <v>618.89125547232186</v>
      </c>
      <c r="AU34">
        <f t="shared" si="37"/>
        <v>31.601129102426068</v>
      </c>
      <c r="AV34">
        <f t="shared" si="14"/>
        <v>9289.8896706581145</v>
      </c>
      <c r="AX34">
        <f t="shared" si="30"/>
        <v>21.600000000000009</v>
      </c>
      <c r="AY34">
        <f t="shared" si="15"/>
        <v>79.272000000000034</v>
      </c>
      <c r="AZ34">
        <f t="shared" si="16"/>
        <v>114.48701408654338</v>
      </c>
      <c r="BA34">
        <f t="shared" si="17"/>
        <v>26.904448310337692</v>
      </c>
      <c r="BB34">
        <f t="shared" si="18"/>
        <v>141.39146239688108</v>
      </c>
      <c r="BC34">
        <f t="shared" si="19"/>
        <v>220.66346239688113</v>
      </c>
      <c r="BH34">
        <f t="shared" si="20"/>
        <v>189.6067746145564</v>
      </c>
      <c r="BI34">
        <f t="shared" si="21"/>
        <v>26.522935661237494</v>
      </c>
      <c r="BJ34">
        <f t="shared" si="22"/>
        <v>26.522935661237494</v>
      </c>
    </row>
    <row r="35" spans="1:62">
      <c r="A35" s="39">
        <v>28</v>
      </c>
      <c r="B35" s="40" t="s">
        <v>104</v>
      </c>
      <c r="C35">
        <v>0.54</v>
      </c>
      <c r="D35" s="45">
        <f t="shared" si="38"/>
        <v>27.308539645681048</v>
      </c>
      <c r="E35">
        <f t="shared" si="23"/>
        <v>17.725370394263798</v>
      </c>
      <c r="F35">
        <f t="shared" si="0"/>
        <v>388.25318860374381</v>
      </c>
      <c r="G35">
        <f t="shared" si="31"/>
        <v>31.443123456913938</v>
      </c>
      <c r="H35">
        <f t="shared" si="1"/>
        <v>5798.7491473588034</v>
      </c>
      <c r="J35" s="40" t="s">
        <v>105</v>
      </c>
      <c r="K35">
        <v>0.82699999999999996</v>
      </c>
      <c r="L35" s="46">
        <f t="shared" si="2"/>
        <v>31.248000000000005</v>
      </c>
      <c r="M35">
        <f t="shared" si="24"/>
        <v>10</v>
      </c>
      <c r="N35">
        <f t="shared" si="3"/>
        <v>437.91863522668888</v>
      </c>
      <c r="O35">
        <f t="shared" si="32"/>
        <v>31.443123456913938</v>
      </c>
      <c r="P35">
        <f t="shared" si="4"/>
        <v>6540.5266129701185</v>
      </c>
      <c r="R35" s="40" t="s">
        <v>106</v>
      </c>
      <c r="S35">
        <v>0.83399999999999996</v>
      </c>
      <c r="T35" s="45">
        <f t="shared" si="5"/>
        <v>21.613199999999999</v>
      </c>
      <c r="U35">
        <f t="shared" si="25"/>
        <v>8</v>
      </c>
      <c r="V35">
        <f t="shared" si="6"/>
        <v>172.92611555930341</v>
      </c>
      <c r="W35">
        <f t="shared" si="33"/>
        <v>31.443123456913938</v>
      </c>
      <c r="X35">
        <f t="shared" si="26"/>
        <v>2582.7351702164779</v>
      </c>
      <c r="Z35" s="40" t="s">
        <v>107</v>
      </c>
      <c r="AA35">
        <v>0.83</v>
      </c>
      <c r="AB35" s="46">
        <f t="shared" si="7"/>
        <v>24.9984</v>
      </c>
      <c r="AC35">
        <f t="shared" si="27"/>
        <v>4</v>
      </c>
      <c r="AD35">
        <f t="shared" si="8"/>
        <v>116.24398067086493</v>
      </c>
      <c r="AE35">
        <f t="shared" si="34"/>
        <v>31.443123456913938</v>
      </c>
      <c r="AF35">
        <f t="shared" si="9"/>
        <v>1736.1600717946335</v>
      </c>
      <c r="AH35" s="40" t="s">
        <v>108</v>
      </c>
      <c r="AI35">
        <v>0.67500000000000004</v>
      </c>
      <c r="AJ35" s="45">
        <f t="shared" si="35"/>
        <v>25.8434466123025</v>
      </c>
      <c r="AK35">
        <f t="shared" si="28"/>
        <v>17.208205045730043</v>
      </c>
      <c r="AL35">
        <f t="shared" si="10"/>
        <v>421.11577465904418</v>
      </c>
      <c r="AM35">
        <f t="shared" si="36"/>
        <v>31.443123456913938</v>
      </c>
      <c r="AN35">
        <f t="shared" si="11"/>
        <v>6289.5677638226816</v>
      </c>
      <c r="AP35" s="41" t="s">
        <v>32</v>
      </c>
      <c r="AQ35">
        <v>0.6</v>
      </c>
      <c r="AR35" s="46">
        <f t="shared" si="12"/>
        <v>32.810400000000001</v>
      </c>
      <c r="AS35">
        <f t="shared" si="29"/>
        <v>19.532289326984209</v>
      </c>
      <c r="AT35">
        <f>0.0673*(AQ35*AR35^2*AS35)^0.976</f>
        <v>676.89336111397472</v>
      </c>
      <c r="AU35">
        <f t="shared" si="37"/>
        <v>31.443123456913938</v>
      </c>
      <c r="AV35">
        <f t="shared" si="14"/>
        <v>10109.729722319264</v>
      </c>
      <c r="AX35">
        <f t="shared" si="30"/>
        <v>22.400000000000009</v>
      </c>
      <c r="AY35">
        <f t="shared" si="15"/>
        <v>82.208000000000027</v>
      </c>
      <c r="AZ35">
        <f t="shared" si="16"/>
        <v>121.32090935272886</v>
      </c>
      <c r="BA35">
        <f t="shared" si="17"/>
        <v>28.510413697891281</v>
      </c>
      <c r="BB35">
        <f t="shared" si="18"/>
        <v>149.83132305062014</v>
      </c>
      <c r="BC35">
        <f t="shared" si="19"/>
        <v>232.03932305062017</v>
      </c>
      <c r="BH35">
        <f t="shared" si="20"/>
        <v>188.65874074148365</v>
      </c>
      <c r="BI35">
        <f t="shared" si="21"/>
        <v>27.303664376330591</v>
      </c>
      <c r="BJ35">
        <f t="shared" si="22"/>
        <v>27.303664376330588</v>
      </c>
    </row>
    <row r="36" spans="1:62">
      <c r="A36" s="39">
        <v>29</v>
      </c>
      <c r="B36" s="40" t="s">
        <v>104</v>
      </c>
      <c r="C36">
        <v>0.54</v>
      </c>
      <c r="D36" s="45">
        <f t="shared" si="38"/>
        <v>27.677020611230869</v>
      </c>
      <c r="E36">
        <f t="shared" si="23"/>
        <v>17.852846456980302</v>
      </c>
      <c r="F36">
        <f t="shared" si="0"/>
        <v>401.34218481673042</v>
      </c>
      <c r="G36">
        <f t="shared" si="31"/>
        <v>31.285907839629367</v>
      </c>
      <c r="H36">
        <f t="shared" si="1"/>
        <v>5964.2684380075689</v>
      </c>
      <c r="J36" s="40" t="s">
        <v>105</v>
      </c>
      <c r="K36">
        <v>0.82699999999999996</v>
      </c>
      <c r="L36" s="46">
        <f t="shared" si="2"/>
        <v>32.363999999999997</v>
      </c>
      <c r="M36">
        <f t="shared" si="24"/>
        <v>10</v>
      </c>
      <c r="N36">
        <f t="shared" si="3"/>
        <v>468.96652239098324</v>
      </c>
      <c r="O36">
        <f t="shared" si="32"/>
        <v>31.285907839629367</v>
      </c>
      <c r="P36">
        <f t="shared" si="4"/>
        <v>6969.2206147129964</v>
      </c>
      <c r="R36" s="40" t="s">
        <v>106</v>
      </c>
      <c r="S36">
        <v>0.83399999999999996</v>
      </c>
      <c r="T36" s="45">
        <f t="shared" si="5"/>
        <v>22.385100000000001</v>
      </c>
      <c r="U36">
        <f t="shared" si="25"/>
        <v>8</v>
      </c>
      <c r="V36">
        <f t="shared" si="6"/>
        <v>185.18636230780257</v>
      </c>
      <c r="W36">
        <f t="shared" si="33"/>
        <v>31.285907839629367</v>
      </c>
      <c r="X36">
        <f t="shared" si="26"/>
        <v>2752.0186455511089</v>
      </c>
      <c r="Z36" s="40" t="s">
        <v>107</v>
      </c>
      <c r="AA36">
        <v>0.83</v>
      </c>
      <c r="AB36" s="46">
        <f t="shared" si="7"/>
        <v>25.891200000000001</v>
      </c>
      <c r="AC36">
        <f t="shared" si="27"/>
        <v>4</v>
      </c>
      <c r="AD36">
        <f t="shared" si="8"/>
        <v>124.48553447806752</v>
      </c>
      <c r="AE36">
        <f t="shared" si="34"/>
        <v>31.285907839629367</v>
      </c>
      <c r="AF36">
        <f t="shared" si="9"/>
        <v>1849.9554055477167</v>
      </c>
      <c r="AH36" s="40" t="s">
        <v>108</v>
      </c>
      <c r="AI36">
        <v>0.67500000000000004</v>
      </c>
      <c r="AJ36" s="45">
        <f t="shared" si="35"/>
        <v>26.181152841291034</v>
      </c>
      <c r="AK36">
        <f t="shared" si="28"/>
        <v>17.328914395684489</v>
      </c>
      <c r="AL36">
        <f t="shared" si="10"/>
        <v>434.88102791072072</v>
      </c>
      <c r="AM36">
        <f t="shared" si="36"/>
        <v>31.285907839629367</v>
      </c>
      <c r="AN36">
        <f t="shared" si="11"/>
        <v>6462.6826861985946</v>
      </c>
      <c r="AP36" s="41" t="s">
        <v>32</v>
      </c>
      <c r="AQ36">
        <v>0.6</v>
      </c>
      <c r="AR36" s="46">
        <f t="shared" si="12"/>
        <v>33.982199999999999</v>
      </c>
      <c r="AS36">
        <f t="shared" si="29"/>
        <v>19.892978762466079</v>
      </c>
      <c r="AT36">
        <f t="shared" si="13"/>
        <v>737.94606194658684</v>
      </c>
      <c r="AU36">
        <f t="shared" si="37"/>
        <v>31.285907839629367</v>
      </c>
      <c r="AV36">
        <f t="shared" si="14"/>
        <v>10966.473430222211</v>
      </c>
      <c r="AX36">
        <f t="shared" si="30"/>
        <v>23.20000000000001</v>
      </c>
      <c r="AY36">
        <f t="shared" si="15"/>
        <v>85.144000000000034</v>
      </c>
      <c r="AZ36">
        <f t="shared" si="16"/>
        <v>128.32015253828152</v>
      </c>
      <c r="BA36">
        <f t="shared" si="17"/>
        <v>30.155235846496154</v>
      </c>
      <c r="BB36">
        <f t="shared" si="18"/>
        <v>158.47538838477766</v>
      </c>
      <c r="BC36">
        <f t="shared" si="19"/>
        <v>243.61938838477769</v>
      </c>
      <c r="BH36">
        <f t="shared" si="20"/>
        <v>187.71544703777622</v>
      </c>
      <c r="BI36">
        <f t="shared" si="21"/>
        <v>28.080112242086983</v>
      </c>
      <c r="BJ36">
        <f t="shared" si="22"/>
        <v>28.08011224208698</v>
      </c>
    </row>
    <row r="37" spans="1:62">
      <c r="A37" s="39">
        <v>30</v>
      </c>
      <c r="B37" s="40" t="s">
        <v>104</v>
      </c>
      <c r="C37">
        <v>0.54</v>
      </c>
      <c r="D37" s="45">
        <f t="shared" si="38"/>
        <v>28.033008261803079</v>
      </c>
      <c r="E37">
        <f t="shared" si="23"/>
        <v>17.975048017428769</v>
      </c>
      <c r="F37">
        <f t="shared" si="0"/>
        <v>414.22911005776183</v>
      </c>
      <c r="G37">
        <f t="shared" si="31"/>
        <v>31.12947830043122</v>
      </c>
      <c r="H37">
        <f t="shared" si="1"/>
        <v>6124.9996441512649</v>
      </c>
      <c r="J37" s="40" t="s">
        <v>105</v>
      </c>
      <c r="K37">
        <v>0.82699999999999996</v>
      </c>
      <c r="L37" s="46">
        <f t="shared" si="2"/>
        <v>33.480000000000004</v>
      </c>
      <c r="M37">
        <f t="shared" si="24"/>
        <v>10</v>
      </c>
      <c r="N37">
        <f t="shared" si="3"/>
        <v>501.05066010158282</v>
      </c>
      <c r="O37">
        <f t="shared" si="32"/>
        <v>31.12947830043122</v>
      </c>
      <c r="P37">
        <f t="shared" si="4"/>
        <v>7408.7866842482563</v>
      </c>
      <c r="R37" s="40" t="s">
        <v>106</v>
      </c>
      <c r="S37">
        <v>0.83399999999999996</v>
      </c>
      <c r="T37" s="45">
        <f t="shared" si="5"/>
        <v>23.157</v>
      </c>
      <c r="U37">
        <f t="shared" si="25"/>
        <v>8</v>
      </c>
      <c r="V37">
        <f t="shared" si="6"/>
        <v>197.85580557662237</v>
      </c>
      <c r="W37">
        <f t="shared" si="33"/>
        <v>31.12947830043122</v>
      </c>
      <c r="X37">
        <f t="shared" si="26"/>
        <v>2925.5953029981069</v>
      </c>
      <c r="Z37" s="40" t="s">
        <v>107</v>
      </c>
      <c r="AA37">
        <v>0.83</v>
      </c>
      <c r="AB37" s="46">
        <f t="shared" si="7"/>
        <v>26.783999999999999</v>
      </c>
      <c r="AC37">
        <f t="shared" si="27"/>
        <v>4</v>
      </c>
      <c r="AD37">
        <f t="shared" si="8"/>
        <v>133.00215739351282</v>
      </c>
      <c r="AE37">
        <f t="shared" si="34"/>
        <v>31.12947830043122</v>
      </c>
      <c r="AF37">
        <f t="shared" si="9"/>
        <v>1966.6366919336501</v>
      </c>
      <c r="AH37" s="40" t="s">
        <v>108</v>
      </c>
      <c r="AI37">
        <v>0.67500000000000004</v>
      </c>
      <c r="AJ37" s="45">
        <f t="shared" si="35"/>
        <v>26.507409170059191</v>
      </c>
      <c r="AK37">
        <f t="shared" si="28"/>
        <v>17.444664082237281</v>
      </c>
      <c r="AL37">
        <f t="shared" si="10"/>
        <v>448.42641702874357</v>
      </c>
      <c r="AM37">
        <f t="shared" si="36"/>
        <v>31.12947830043122</v>
      </c>
      <c r="AN37">
        <f t="shared" si="11"/>
        <v>6630.6581986622868</v>
      </c>
      <c r="AP37" s="41" t="s">
        <v>32</v>
      </c>
      <c r="AQ37">
        <v>0.6</v>
      </c>
      <c r="AR37" s="46">
        <f t="shared" si="12"/>
        <v>35.153999999999996</v>
      </c>
      <c r="AS37">
        <f t="shared" si="29"/>
        <v>20.246153297130327</v>
      </c>
      <c r="AT37">
        <f t="shared" si="13"/>
        <v>802.09109331190677</v>
      </c>
      <c r="AU37">
        <f t="shared" si="37"/>
        <v>31.12947830043122</v>
      </c>
      <c r="AV37">
        <f t="shared" si="14"/>
        <v>11860.121710005522</v>
      </c>
      <c r="AX37">
        <f t="shared" si="30"/>
        <v>24.000000000000011</v>
      </c>
      <c r="AY37">
        <f t="shared" si="15"/>
        <v>88.080000000000041</v>
      </c>
      <c r="AZ37">
        <f>SUM(H37,P37,X37,AF37,AN37,AV37)*3.67/1000</f>
        <v>135.48464951143663</v>
      </c>
      <c r="BA37">
        <f>AZ37*0.235</f>
        <v>31.838892635187605</v>
      </c>
      <c r="BB37">
        <f t="shared" si="18"/>
        <v>167.32354214662422</v>
      </c>
      <c r="BC37">
        <f>BB37+AY37</f>
        <v>255.40354214662426</v>
      </c>
      <c r="BH37">
        <f t="shared" si="20"/>
        <v>186.77686980258733</v>
      </c>
      <c r="BI37">
        <f t="shared" si="21"/>
        <v>28.852569571977043</v>
      </c>
      <c r="BJ37">
        <f t="shared" si="22"/>
        <v>28.852569571977043</v>
      </c>
    </row>
    <row r="39" spans="1:62">
      <c r="F39">
        <f>F37*$F$5*3.67/1000</f>
        <v>0.72210489610819328</v>
      </c>
      <c r="G39" t="s">
        <v>114</v>
      </c>
      <c r="N39">
        <f t="shared" ref="N39:AT39" si="39">N37*$F$5*3.67/1000</f>
        <v>0.87345656322208409</v>
      </c>
      <c r="O39" t="s">
        <v>114</v>
      </c>
      <c r="V39">
        <f t="shared" si="39"/>
        <v>0.34491213307144691</v>
      </c>
      <c r="W39" t="s">
        <v>114</v>
      </c>
      <c r="AD39">
        <f t="shared" si="39"/>
        <v>0.23185601087624119</v>
      </c>
      <c r="AE39" t="s">
        <v>114</v>
      </c>
      <c r="AL39">
        <f t="shared" si="39"/>
        <v>0.78171935148535721</v>
      </c>
      <c r="AM39" t="s">
        <v>114</v>
      </c>
      <c r="AT39">
        <f t="shared" si="39"/>
        <v>1.3982452984159812</v>
      </c>
      <c r="AU39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F2E-6A34-3542-BACA-44D6531A1B1F}">
  <dimension ref="A2:BC37"/>
  <sheetViews>
    <sheetView tabSelected="1" topLeftCell="A3" zoomScale="150" workbookViewId="0">
      <pane xSplit="1" topLeftCell="AQ1" activePane="topRight" state="frozen"/>
      <selection pane="topRight" activeCell="AY13" sqref="AY13"/>
    </sheetView>
  </sheetViews>
  <sheetFormatPr defaultColWidth="11" defaultRowHeight="15.95"/>
  <cols>
    <col min="1" max="1" width="15" customWidth="1"/>
    <col min="2" max="2" width="12.875" bestFit="1" customWidth="1"/>
    <col min="3" max="3" width="16.875" bestFit="1" customWidth="1"/>
    <col min="4" max="4" width="10.125" bestFit="1" customWidth="1"/>
    <col min="5" max="6" width="12.125" bestFit="1" customWidth="1"/>
    <col min="7" max="7" width="15.125" bestFit="1" customWidth="1"/>
    <col min="8" max="8" width="14.125" bestFit="1" customWidth="1"/>
    <col min="9" max="9" width="16.875" bestFit="1" customWidth="1"/>
    <col min="10" max="10" width="12.875" bestFit="1" customWidth="1"/>
    <col min="11" max="11" width="16.875" bestFit="1" customWidth="1"/>
    <col min="12" max="12" width="10.125" bestFit="1" customWidth="1"/>
    <col min="13" max="14" width="12.125" bestFit="1" customWidth="1"/>
    <col min="15" max="15" width="15.125" bestFit="1" customWidth="1"/>
    <col min="16" max="16" width="14.125" bestFit="1" customWidth="1"/>
    <col min="18" max="18" width="12.875" bestFit="1" customWidth="1"/>
    <col min="19" max="19" width="16.875" bestFit="1" customWidth="1"/>
    <col min="20" max="20" width="10.125" bestFit="1" customWidth="1"/>
    <col min="21" max="22" width="12.125" bestFit="1" customWidth="1"/>
    <col min="23" max="23" width="15.125" bestFit="1" customWidth="1"/>
    <col min="24" max="24" width="14.125" bestFit="1" customWidth="1"/>
    <col min="26" max="26" width="15.375" bestFit="1" customWidth="1"/>
    <col min="27" max="27" width="16.875" bestFit="1" customWidth="1"/>
    <col min="28" max="28" width="10.125" bestFit="1" customWidth="1"/>
    <col min="29" max="30" width="12.125" bestFit="1" customWidth="1"/>
    <col min="31" max="31" width="15.125" bestFit="1" customWidth="1"/>
    <col min="32" max="32" width="14.125" bestFit="1" customWidth="1"/>
    <col min="34" max="34" width="12.875" bestFit="1" customWidth="1"/>
    <col min="35" max="35" width="16.875" bestFit="1" customWidth="1"/>
    <col min="36" max="36" width="10.125" bestFit="1" customWidth="1"/>
    <col min="37" max="38" width="12.125" bestFit="1" customWidth="1"/>
    <col min="39" max="39" width="15.125" bestFit="1" customWidth="1"/>
    <col min="40" max="40" width="14.125" bestFit="1" customWidth="1"/>
    <col min="42" max="42" width="12.375" bestFit="1" customWidth="1"/>
    <col min="43" max="43" width="15" bestFit="1" customWidth="1"/>
    <col min="44" max="45" width="22.375" bestFit="1" customWidth="1"/>
    <col min="46" max="46" width="34" bestFit="1" customWidth="1"/>
    <col min="47" max="47" width="22.5" bestFit="1" customWidth="1"/>
    <col min="49" max="49" width="22.375" bestFit="1" customWidth="1"/>
    <col min="51" max="51" width="18.625" bestFit="1" customWidth="1"/>
  </cols>
  <sheetData>
    <row r="2" spans="1:55">
      <c r="B2" s="44" t="s">
        <v>72</v>
      </c>
      <c r="C2">
        <v>0.1595973</v>
      </c>
      <c r="E2" t="s">
        <v>92</v>
      </c>
      <c r="F2">
        <v>0.47499999999999998</v>
      </c>
      <c r="H2" s="45" t="s">
        <v>93</v>
      </c>
      <c r="I2" s="46" t="s">
        <v>94</v>
      </c>
      <c r="K2" s="47"/>
    </row>
    <row r="3" spans="1:55" s="42" customFormat="1" ht="80.099999999999994">
      <c r="A3" s="42" t="s">
        <v>95</v>
      </c>
      <c r="B3" s="42" t="s">
        <v>96</v>
      </c>
      <c r="C3" s="42" t="s">
        <v>68</v>
      </c>
      <c r="D3" s="42" t="s">
        <v>70</v>
      </c>
      <c r="E3" s="42" t="s">
        <v>74</v>
      </c>
      <c r="F3" s="42" t="s">
        <v>76</v>
      </c>
      <c r="G3" s="42" t="s">
        <v>78</v>
      </c>
      <c r="H3" s="42" t="s">
        <v>80</v>
      </c>
      <c r="J3" s="42" t="s">
        <v>96</v>
      </c>
      <c r="K3" s="42" t="s">
        <v>68</v>
      </c>
      <c r="L3" s="42" t="s">
        <v>70</v>
      </c>
      <c r="M3" s="42" t="s">
        <v>74</v>
      </c>
      <c r="N3" s="42" t="s">
        <v>97</v>
      </c>
      <c r="O3" s="42" t="s">
        <v>78</v>
      </c>
      <c r="P3" s="42" t="s">
        <v>80</v>
      </c>
      <c r="R3" s="42" t="s">
        <v>96</v>
      </c>
      <c r="S3" s="42" t="s">
        <v>68</v>
      </c>
      <c r="T3" s="42" t="s">
        <v>70</v>
      </c>
      <c r="U3" s="42" t="s">
        <v>74</v>
      </c>
      <c r="V3" s="42" t="s">
        <v>97</v>
      </c>
      <c r="W3" s="42" t="s">
        <v>78</v>
      </c>
      <c r="X3" s="42" t="s">
        <v>80</v>
      </c>
      <c r="Z3" s="42" t="s">
        <v>96</v>
      </c>
      <c r="AA3" s="42" t="s">
        <v>68</v>
      </c>
      <c r="AB3" s="42" t="s">
        <v>70</v>
      </c>
      <c r="AC3" s="42" t="s">
        <v>74</v>
      </c>
      <c r="AD3" s="42" t="s">
        <v>97</v>
      </c>
      <c r="AE3" s="42" t="s">
        <v>78</v>
      </c>
      <c r="AF3" s="42" t="s">
        <v>80</v>
      </c>
      <c r="AH3" s="42" t="s">
        <v>96</v>
      </c>
      <c r="AI3" s="42" t="s">
        <v>68</v>
      </c>
      <c r="AJ3" s="42" t="s">
        <v>70</v>
      </c>
      <c r="AK3" s="42" t="s">
        <v>74</v>
      </c>
      <c r="AL3" s="42" t="s">
        <v>97</v>
      </c>
      <c r="AM3" s="42" t="s">
        <v>78</v>
      </c>
      <c r="AN3" s="42" t="s">
        <v>80</v>
      </c>
      <c r="AQ3" s="42" t="s">
        <v>82</v>
      </c>
      <c r="AR3" s="42" t="s">
        <v>98</v>
      </c>
      <c r="AS3" s="42" t="s">
        <v>84</v>
      </c>
      <c r="AT3" s="42" t="s">
        <v>86</v>
      </c>
      <c r="AU3" s="42" t="s">
        <v>88</v>
      </c>
      <c r="AV3" s="42" t="s">
        <v>90</v>
      </c>
      <c r="AX3" s="42" t="s">
        <v>99</v>
      </c>
      <c r="AZ3" s="42" t="s">
        <v>100</v>
      </c>
      <c r="BA3" s="42" t="s">
        <v>115</v>
      </c>
      <c r="BB3" s="42" t="s">
        <v>102</v>
      </c>
      <c r="BC3" s="42" t="s">
        <v>116</v>
      </c>
    </row>
    <row r="4" spans="1:55">
      <c r="A4" s="39">
        <v>0</v>
      </c>
      <c r="B4" s="41" t="s">
        <v>117</v>
      </c>
      <c r="C4">
        <v>0.56000000000000005</v>
      </c>
      <c r="D4" s="45">
        <f>A4*1*0.93</f>
        <v>0</v>
      </c>
      <c r="E4">
        <v>0</v>
      </c>
      <c r="F4">
        <f>0.0673*(C4*D4^2*E4)^0.976</f>
        <v>0</v>
      </c>
      <c r="G4">
        <v>75</v>
      </c>
      <c r="H4">
        <f>F4*G4*$F$2</f>
        <v>0</v>
      </c>
      <c r="J4" s="40" t="s">
        <v>39</v>
      </c>
      <c r="K4">
        <v>0.82499999999999996</v>
      </c>
      <c r="L4" s="45">
        <f>A4*1*0.93</f>
        <v>0</v>
      </c>
      <c r="M4">
        <f>IF(50.453*(1-EXP(-0.047*L4^(0.812)))&gt;10, 10, 50.453*(1-EXP(-0.047*L4^(0.812))))</f>
        <v>0</v>
      </c>
      <c r="N4">
        <f>0.0673*(K4*L4^2*M4)^0.976</f>
        <v>0</v>
      </c>
      <c r="O4">
        <v>75</v>
      </c>
      <c r="P4">
        <f>N4*O4*$F$2</f>
        <v>0</v>
      </c>
      <c r="R4" s="41" t="s">
        <v>118</v>
      </c>
      <c r="S4">
        <v>0.65</v>
      </c>
      <c r="T4" s="45">
        <f>A4*0.77*0.93</f>
        <v>0</v>
      </c>
      <c r="U4">
        <f>IF(50.453*(1-EXP(-0.047*T4^(0.812)))&gt;15, 8, 50.453*(1-EXP(-0.047*T4^(0.812))))</f>
        <v>0</v>
      </c>
      <c r="V4">
        <f>0.0673*(S4*T4^2*U4)^0.976</f>
        <v>0</v>
      </c>
      <c r="W4">
        <v>75</v>
      </c>
      <c r="X4">
        <f>V4*W4*$F$2</f>
        <v>0</v>
      </c>
      <c r="Z4" s="40" t="s">
        <v>44</v>
      </c>
      <c r="AA4">
        <v>0.215</v>
      </c>
      <c r="AB4" s="45">
        <f>$A4*1.18*0.93</f>
        <v>0</v>
      </c>
      <c r="AC4">
        <v>0</v>
      </c>
      <c r="AD4">
        <f>0.0673*(AA4*AB4^2*AC4)^0.976</f>
        <v>0</v>
      </c>
      <c r="AE4">
        <v>75</v>
      </c>
      <c r="AF4">
        <f>AD4*AE4*$F$2</f>
        <v>0</v>
      </c>
      <c r="AH4" s="41" t="s">
        <v>61</v>
      </c>
      <c r="AI4">
        <v>0.6</v>
      </c>
      <c r="AJ4" s="45">
        <f>$A4*1.5*0.93</f>
        <v>0</v>
      </c>
      <c r="AK4">
        <f>IF(50.453*(1-EXP(-0.047*AJ4^(0.812)))&gt;25, 25, 50.453*(1-EXP(-0.047*AJ4^(0.812))))</f>
        <v>0</v>
      </c>
      <c r="AL4">
        <f>0.0673*(AI4*AJ4^2*AK4)^0.976</f>
        <v>0</v>
      </c>
      <c r="AM4">
        <v>75</v>
      </c>
      <c r="AN4">
        <f>AL4*AM4*$F$2</f>
        <v>0</v>
      </c>
      <c r="AQ4">
        <v>0</v>
      </c>
      <c r="AR4">
        <f>AQ4*3.67</f>
        <v>0</v>
      </c>
      <c r="AS4">
        <f>SUM(H4,P4,X4,AF4,AN4)*3.67/1000</f>
        <v>0</v>
      </c>
      <c r="AT4">
        <f>AS4*0.235</f>
        <v>0</v>
      </c>
      <c r="AU4">
        <f>AS4+AT4</f>
        <v>0</v>
      </c>
      <c r="AV4">
        <f>AU4+AR4</f>
        <v>0</v>
      </c>
      <c r="AX4">
        <v>6.37</v>
      </c>
      <c r="AZ4">
        <f>SUM(AM34,AE34,W34,O34,G34)</f>
        <v>194.55923937769512</v>
      </c>
      <c r="BA4">
        <f>SUM(G4,O4,W4,AE4,AM4)</f>
        <v>375</v>
      </c>
      <c r="BB4">
        <f>AVERAGE(D4,L4,T4,AB4,AJ4)</f>
        <v>0</v>
      </c>
      <c r="BC4">
        <f>SUM(D4*G4,L4*O4,T4*W4,AB4*AE4,AJ4*AM4)/BA4</f>
        <v>0</v>
      </c>
    </row>
    <row r="5" spans="1:55">
      <c r="A5" s="39">
        <v>1</v>
      </c>
      <c r="B5" s="41" t="s">
        <v>117</v>
      </c>
      <c r="C5">
        <v>0.56000000000000005</v>
      </c>
      <c r="D5" s="45">
        <f t="shared" ref="D5:D34" si="0">A5*1*0.93</f>
        <v>0.93</v>
      </c>
      <c r="E5">
        <f>IF(EXP(0.893-$C$2+0.76*LN(D5)-0.034*(LN(D5))^2)&gt;22.5, 22.5, EXP(0.893-$C$2+0.76*LN(D5)-0.034*(LN(D5))^2))</f>
        <v>1.9700716492376908</v>
      </c>
      <c r="F5">
        <f t="shared" ref="F5:F34" si="1">0.0673*(C5*D5^2*E5)^0.976</f>
        <v>6.4289455407008533E-2</v>
      </c>
      <c r="G5">
        <f>G4*0.6</f>
        <v>45</v>
      </c>
      <c r="H5">
        <f t="shared" ref="H5:H34" si="2">F5*G5*$F$2</f>
        <v>1.3741871093248073</v>
      </c>
      <c r="J5" s="40" t="s">
        <v>39</v>
      </c>
      <c r="K5">
        <v>0.82499999999999996</v>
      </c>
      <c r="L5" s="45">
        <f t="shared" ref="L5:L34" si="3">A5*1*0.93</f>
        <v>0.93</v>
      </c>
      <c r="M5">
        <f>IF(EXP(0.893-$C$2+0.76*LN(L5)-0.034*(LN(L5))^2)&gt;15, 15, EXP(0.893-$C$2+0.76*LN(L5)-0.034*(LN(L5))^2))</f>
        <v>1.9700716492376908</v>
      </c>
      <c r="N5">
        <f t="shared" ref="N5:N34" si="4">0.0673*(K5*L5^2*M5)^0.976</f>
        <v>9.3835524598760489E-2</v>
      </c>
      <c r="O5">
        <f>O4*0.6</f>
        <v>45</v>
      </c>
      <c r="P5">
        <f t="shared" ref="P5:P34" si="5">N5*O5*$F$2</f>
        <v>2.0057343382985051</v>
      </c>
      <c r="R5" s="41" t="s">
        <v>118</v>
      </c>
      <c r="S5">
        <v>0.65</v>
      </c>
      <c r="T5" s="45">
        <f t="shared" ref="T5:T34" si="6">A5*0.77*0.93</f>
        <v>0.71610000000000007</v>
      </c>
      <c r="U5">
        <f>IF(EXP(0.893-$C$2+0.76*LN(T5)-0.034*(LN(T5))^2)&gt;15, 15, EXP(0.893-$C$2+0.76*LN(T5)-0.034*(LN(T5))^2))</f>
        <v>1.6093338159658377</v>
      </c>
      <c r="V5">
        <f t="shared" ref="V5:V34" si="7">0.0673*(S5*T5^2*U5)^0.976</f>
        <v>3.664491689211493E-2</v>
      </c>
      <c r="W5">
        <f>W4*0.6</f>
        <v>45</v>
      </c>
      <c r="X5">
        <f t="shared" ref="X5:X34" si="8">V5*W5*$F$2</f>
        <v>0.78328509856895667</v>
      </c>
      <c r="Z5" s="40" t="s">
        <v>44</v>
      </c>
      <c r="AA5">
        <v>0.215</v>
      </c>
      <c r="AB5" s="45">
        <f t="shared" ref="AB5:AB34" si="9">$A5*1.18*0.93</f>
        <v>1.0973999999999999</v>
      </c>
      <c r="AC5">
        <f>IF(EXP(0.893-$C$2+0.76*LN(AB5)-0.034*(LN(AB5))^2)&gt;37.5, 37.5, EXP(0.893-$C$2+0.76*LN(AB5)-0.034*(LN(AB5))^2))</f>
        <v>2.2338939672398963</v>
      </c>
      <c r="AD5">
        <f t="shared" ref="AD5:AD34" si="10">0.0673*(AA5*AB5^2*AC5)^0.976</f>
        <v>3.9441411513377919E-2</v>
      </c>
      <c r="AE5">
        <f>AE4*0.6</f>
        <v>45</v>
      </c>
      <c r="AF5">
        <f>AD5*AE5*$F$2</f>
        <v>0.84306017109845288</v>
      </c>
      <c r="AH5" s="41" t="s">
        <v>61</v>
      </c>
      <c r="AI5">
        <v>0.6</v>
      </c>
      <c r="AJ5" s="45">
        <f t="shared" ref="AJ5:AJ34" si="11">$A5*1.5*0.93</f>
        <v>1.395</v>
      </c>
      <c r="AK5">
        <f>IF(EXP(0.893-$C$2+0.76*LN(AJ5)-0.034*(LN(AJ5))^2)&gt;8, 8, EXP(0.893-$C$2+0.76*LN(AJ5)-0.034*(LN(AJ5))^2))</f>
        <v>2.6714853272901968</v>
      </c>
      <c r="AL5">
        <f t="shared" ref="AL5:AL34" si="12">0.0673*(AI5*AJ5^2*AK5)^0.976</f>
        <v>0.20427266931826618</v>
      </c>
      <c r="AM5">
        <f>AM4*0.6</f>
        <v>45</v>
      </c>
      <c r="AN5">
        <f t="shared" ref="AN5:AN34" si="13">AL5*AM5*$F$2</f>
        <v>4.3663283066779393</v>
      </c>
      <c r="AQ5">
        <f>AQ4+0.8</f>
        <v>0.8</v>
      </c>
      <c r="AR5">
        <f t="shared" ref="AR5:AR34" si="14">AQ5*3.67</f>
        <v>2.9359999999999999</v>
      </c>
      <c r="AS5">
        <f t="shared" ref="AS5:AS34" si="15">SUM(H5,P5,X5,AF5,AN5)*3.67/1000</f>
        <v>3.4397423737964984E-2</v>
      </c>
      <c r="AT5">
        <f t="shared" ref="AT5:AT33" si="16">AS5*0.235</f>
        <v>8.0833945784217712E-3</v>
      </c>
      <c r="AU5">
        <f t="shared" ref="AU5:AU34" si="17">AS5+AT5</f>
        <v>4.2480818316386754E-2</v>
      </c>
      <c r="AV5">
        <f t="shared" ref="AV5:AV34" si="18">AU5+AR5</f>
        <v>2.9784808183163869</v>
      </c>
      <c r="BA5">
        <f t="shared" ref="BA5:BA34" si="19">SUM(G5,O5,W5,AE5,AM5)</f>
        <v>225</v>
      </c>
      <c r="BB5">
        <f t="shared" ref="BB5:BB34" si="20">AVERAGE(D5,L5,T5,AB5,AJ5)</f>
        <v>1.0137</v>
      </c>
      <c r="BC5">
        <f t="shared" ref="BC5:BC34" si="21">SUM(D5*G5,L5*O5,T5*W5,AB5*AE5,AJ5*AM5)/BA5</f>
        <v>1.0137</v>
      </c>
    </row>
    <row r="6" spans="1:55" ht="18.95">
      <c r="A6" s="39">
        <v>2</v>
      </c>
      <c r="B6" s="41" t="s">
        <v>117</v>
      </c>
      <c r="C6">
        <v>0.56000000000000005</v>
      </c>
      <c r="D6" s="45">
        <f t="shared" si="0"/>
        <v>1.86</v>
      </c>
      <c r="E6">
        <f t="shared" ref="E6:E34" si="22">IF(EXP(0.893-$C$2+0.76*LN(D6)-0.034*(LN(D6))^2)&gt;22.5, 22.5, EXP(0.893-$C$2+0.76*LN(D6)-0.034*(LN(D6))^2))</f>
        <v>3.2934871077857624</v>
      </c>
      <c r="F6">
        <f t="shared" si="1"/>
        <v>0.41074101334151747</v>
      </c>
      <c r="G6">
        <f>G5*0.995</f>
        <v>44.774999999999999</v>
      </c>
      <c r="H6">
        <f t="shared" si="2"/>
        <v>8.7356912143740608</v>
      </c>
      <c r="J6" s="40" t="s">
        <v>39</v>
      </c>
      <c r="K6">
        <v>0.82499999999999996</v>
      </c>
      <c r="L6" s="45">
        <f t="shared" si="3"/>
        <v>1.86</v>
      </c>
      <c r="M6">
        <f t="shared" ref="M6:M34" si="23">IF(EXP(0.893-$C$2+0.76*LN(L6)-0.034*(LN(L6))^2)&gt;15, 15, EXP(0.893-$C$2+0.76*LN(L6)-0.034*(LN(L6))^2))</f>
        <v>3.2934871077857624</v>
      </c>
      <c r="N6">
        <f t="shared" si="4"/>
        <v>0.59950886528937841</v>
      </c>
      <c r="O6">
        <f>O5*0.995</f>
        <v>44.774999999999999</v>
      </c>
      <c r="P6">
        <f t="shared" si="5"/>
        <v>12.750429485582661</v>
      </c>
      <c r="R6" s="41" t="s">
        <v>118</v>
      </c>
      <c r="S6">
        <v>0.65</v>
      </c>
      <c r="T6" s="45">
        <f t="shared" si="6"/>
        <v>1.4322000000000001</v>
      </c>
      <c r="U6">
        <f t="shared" ref="U6:U34" si="24">IF(EXP(0.893-$C$2+0.76*LN(T6)-0.034*(LN(T6))^2)&gt;15, 15, EXP(0.893-$C$2+0.76*LN(T6)-0.034*(LN(T6))^2))</f>
        <v>2.7237687354655118</v>
      </c>
      <c r="V6">
        <f t="shared" si="7"/>
        <v>0.23695387101956111</v>
      </c>
      <c r="W6">
        <f>W5*0.995</f>
        <v>44.774999999999999</v>
      </c>
      <c r="X6">
        <f t="shared" si="8"/>
        <v>5.0395645480779026</v>
      </c>
      <c r="Z6" s="40" t="s">
        <v>44</v>
      </c>
      <c r="AA6">
        <v>0.215</v>
      </c>
      <c r="AB6" s="45">
        <f t="shared" si="9"/>
        <v>2.1947999999999999</v>
      </c>
      <c r="AC6">
        <f t="shared" ref="AC6:AC34" si="25">IF(EXP(0.893-$C$2+0.76*LN(AB6)-0.034*(LN(AB6))^2)&gt;37.5, 37.5, EXP(0.893-$C$2+0.76*LN(AB6)-0.034*(LN(AB6))^2))</f>
        <v>3.7055136266306965</v>
      </c>
      <c r="AD6">
        <f t="shared" si="10"/>
        <v>0.25007714304863821</v>
      </c>
      <c r="AE6">
        <f>AE5*0.995</f>
        <v>44.774999999999999</v>
      </c>
      <c r="AF6">
        <f t="shared" ref="AF6:AF34" si="26">AD6*AE6*$F$2</f>
        <v>5.3186719380013177</v>
      </c>
      <c r="AH6" s="41" t="s">
        <v>61</v>
      </c>
      <c r="AI6">
        <v>0.6</v>
      </c>
      <c r="AJ6" s="45">
        <f t="shared" si="11"/>
        <v>2.79</v>
      </c>
      <c r="AK6">
        <f t="shared" ref="AK6:AK34" si="27">IF(EXP(0.893-$C$2+0.76*LN(AJ6)-0.034*(LN(AJ6))^2)&gt;8, 8, EXP(0.893-$C$2+0.76*LN(AJ6)-0.034*(LN(AJ6))^2))</f>
        <v>4.3815407271194626</v>
      </c>
      <c r="AL6">
        <f t="shared" si="12"/>
        <v>1.2809668705659905</v>
      </c>
      <c r="AM6">
        <f>AM5*0.995</f>
        <v>44.774999999999999</v>
      </c>
      <c r="AN6">
        <f t="shared" si="13"/>
        <v>27.243763524056305</v>
      </c>
      <c r="AQ6">
        <f t="shared" ref="AQ6:AQ34" si="28">AQ5+0.8</f>
        <v>1.6</v>
      </c>
      <c r="AR6">
        <f t="shared" si="14"/>
        <v>5.8719999999999999</v>
      </c>
      <c r="AS6">
        <f t="shared" si="15"/>
        <v>0.21685340300603856</v>
      </c>
      <c r="AT6">
        <f t="shared" si="16"/>
        <v>5.0960549706419056E-2</v>
      </c>
      <c r="AU6">
        <f t="shared" si="17"/>
        <v>0.26781395271245761</v>
      </c>
      <c r="AV6">
        <f t="shared" si="18"/>
        <v>6.1398139527124576</v>
      </c>
      <c r="AX6" s="38" t="s">
        <v>109</v>
      </c>
      <c r="BA6">
        <f t="shared" si="19"/>
        <v>223.875</v>
      </c>
      <c r="BB6">
        <f t="shared" si="20"/>
        <v>2.0274000000000001</v>
      </c>
      <c r="BC6">
        <f t="shared" si="21"/>
        <v>2.0274000000000001</v>
      </c>
    </row>
    <row r="7" spans="1:55">
      <c r="A7" s="39">
        <v>3</v>
      </c>
      <c r="B7" s="41" t="s">
        <v>117</v>
      </c>
      <c r="C7">
        <v>0.56000000000000005</v>
      </c>
      <c r="D7" s="45">
        <f t="shared" si="0"/>
        <v>2.79</v>
      </c>
      <c r="E7">
        <f t="shared" si="22"/>
        <v>4.3815407271194626</v>
      </c>
      <c r="F7">
        <f t="shared" si="1"/>
        <v>1.1975503769393157</v>
      </c>
      <c r="G7">
        <f t="shared" ref="G7:G34" si="29">G6*0.995</f>
        <v>44.551124999999999</v>
      </c>
      <c r="H7">
        <f t="shared" si="2"/>
        <v>25.342302854989772</v>
      </c>
      <c r="J7" s="40" t="s">
        <v>39</v>
      </c>
      <c r="K7">
        <v>0.82499999999999996</v>
      </c>
      <c r="L7" s="45">
        <f t="shared" si="3"/>
        <v>2.79</v>
      </c>
      <c r="M7">
        <f t="shared" si="23"/>
        <v>4.3815407271194626</v>
      </c>
      <c r="N7">
        <f t="shared" si="4"/>
        <v>1.7479191127398115</v>
      </c>
      <c r="O7">
        <f t="shared" ref="O7:O34" si="30">O6*0.995</f>
        <v>44.551124999999999</v>
      </c>
      <c r="P7">
        <f t="shared" si="5"/>
        <v>36.989087368741203</v>
      </c>
      <c r="R7" s="41" t="s">
        <v>118</v>
      </c>
      <c r="S7">
        <v>0.65</v>
      </c>
      <c r="T7" s="45">
        <f t="shared" si="6"/>
        <v>2.1483000000000003</v>
      </c>
      <c r="U7">
        <f t="shared" si="24"/>
        <v>3.6498141546186758</v>
      </c>
      <c r="V7">
        <f t="shared" si="7"/>
        <v>0.69573532357000212</v>
      </c>
      <c r="W7">
        <f t="shared" ref="W7:W34" si="31">W6*0.995</f>
        <v>44.551124999999999</v>
      </c>
      <c r="X7">
        <f t="shared" si="8"/>
        <v>14.723000899459239</v>
      </c>
      <c r="Z7" s="40" t="s">
        <v>44</v>
      </c>
      <c r="AA7">
        <v>0.215</v>
      </c>
      <c r="AB7" s="45">
        <f t="shared" si="9"/>
        <v>3.2922000000000002</v>
      </c>
      <c r="AC7">
        <f t="shared" si="25"/>
        <v>4.9072410983632349</v>
      </c>
      <c r="AD7">
        <f t="shared" si="10"/>
        <v>0.72588092259061243</v>
      </c>
      <c r="AE7">
        <f t="shared" ref="AE7:AE34" si="32">AE6*0.995</f>
        <v>44.551124999999999</v>
      </c>
      <c r="AF7">
        <f t="shared" si="26"/>
        <v>15.360935565788603</v>
      </c>
      <c r="AH7" s="41" t="s">
        <v>61</v>
      </c>
      <c r="AI7">
        <v>0.6</v>
      </c>
      <c r="AJ7" s="45">
        <f t="shared" si="11"/>
        <v>4.1850000000000005</v>
      </c>
      <c r="AK7">
        <f t="shared" si="27"/>
        <v>5.7642474410442812</v>
      </c>
      <c r="AL7">
        <f t="shared" si="12"/>
        <v>3.6942392628326388</v>
      </c>
      <c r="AM7">
        <f t="shared" ref="AM7:AM34" si="33">AM6*0.995</f>
        <v>44.551124999999999</v>
      </c>
      <c r="AN7">
        <f t="shared" si="13"/>
        <v>78.176694709723236</v>
      </c>
      <c r="AQ7">
        <f t="shared" si="28"/>
        <v>2.4000000000000004</v>
      </c>
      <c r="AR7">
        <f t="shared" si="14"/>
        <v>8.8080000000000016</v>
      </c>
      <c r="AS7">
        <f t="shared" si="15"/>
        <v>0.62607271853323654</v>
      </c>
      <c r="AT7">
        <f t="shared" si="16"/>
        <v>0.14712708885531059</v>
      </c>
      <c r="AU7">
        <f t="shared" si="17"/>
        <v>0.7731998073885471</v>
      </c>
      <c r="AV7">
        <f t="shared" si="18"/>
        <v>9.5811998073885487</v>
      </c>
      <c r="AX7">
        <f>AV34*AX4</f>
        <v>1573.9146842661457</v>
      </c>
      <c r="BA7">
        <f t="shared" si="19"/>
        <v>222.75562500000001</v>
      </c>
      <c r="BB7">
        <f t="shared" si="20"/>
        <v>3.0411000000000006</v>
      </c>
      <c r="BC7">
        <f t="shared" si="21"/>
        <v>3.0411000000000001</v>
      </c>
    </row>
    <row r="8" spans="1:55">
      <c r="A8" s="39">
        <v>4</v>
      </c>
      <c r="B8" s="41" t="s">
        <v>117</v>
      </c>
      <c r="C8">
        <v>0.56000000000000005</v>
      </c>
      <c r="D8" s="45">
        <f t="shared" si="0"/>
        <v>3.72</v>
      </c>
      <c r="E8">
        <f t="shared" si="22"/>
        <v>5.3289440925668474</v>
      </c>
      <c r="F8">
        <f t="shared" si="1"/>
        <v>2.5418397864202098</v>
      </c>
      <c r="G8">
        <f t="shared" si="29"/>
        <v>44.328369375000001</v>
      </c>
      <c r="H8">
        <f t="shared" si="2"/>
        <v>53.520916148640431</v>
      </c>
      <c r="J8" s="40" t="s">
        <v>39</v>
      </c>
      <c r="K8">
        <v>0.82499999999999996</v>
      </c>
      <c r="L8" s="45">
        <f t="shared" si="3"/>
        <v>3.72</v>
      </c>
      <c r="M8">
        <f t="shared" si="23"/>
        <v>5.3289440925668474</v>
      </c>
      <c r="N8">
        <f t="shared" si="4"/>
        <v>3.71001540291069</v>
      </c>
      <c r="O8">
        <f t="shared" si="30"/>
        <v>44.328369375000001</v>
      </c>
      <c r="P8">
        <f t="shared" si="5"/>
        <v>78.117993254403146</v>
      </c>
      <c r="R8" s="41" t="s">
        <v>118</v>
      </c>
      <c r="S8">
        <v>0.65</v>
      </c>
      <c r="T8" s="45">
        <f t="shared" si="6"/>
        <v>2.8644000000000003</v>
      </c>
      <c r="U8">
        <f t="shared" si="24"/>
        <v>4.4617535089605944</v>
      </c>
      <c r="V8">
        <f t="shared" si="7"/>
        <v>1.4841085073297959</v>
      </c>
      <c r="W8">
        <f t="shared" si="31"/>
        <v>44.328369375000001</v>
      </c>
      <c r="X8">
        <f t="shared" si="8"/>
        <v>31.249352300110168</v>
      </c>
      <c r="Z8" s="40" t="s">
        <v>44</v>
      </c>
      <c r="AA8">
        <v>0.215</v>
      </c>
      <c r="AB8" s="45">
        <f t="shared" si="9"/>
        <v>4.3895999999999997</v>
      </c>
      <c r="AC8">
        <f t="shared" si="25"/>
        <v>5.9490212982485922</v>
      </c>
      <c r="AD8">
        <f t="shared" si="10"/>
        <v>1.5358447913685263</v>
      </c>
      <c r="AE8">
        <f t="shared" si="32"/>
        <v>44.328369375000001</v>
      </c>
      <c r="AF8">
        <f t="shared" si="26"/>
        <v>32.33871022686558</v>
      </c>
      <c r="AH8" s="41" t="s">
        <v>61</v>
      </c>
      <c r="AI8">
        <v>0.6</v>
      </c>
      <c r="AJ8" s="45">
        <f t="shared" si="11"/>
        <v>5.58</v>
      </c>
      <c r="AK8">
        <f t="shared" si="27"/>
        <v>6.9552406681794228</v>
      </c>
      <c r="AL8">
        <f t="shared" si="12"/>
        <v>7.7806756470081506</v>
      </c>
      <c r="AM8">
        <f t="shared" si="33"/>
        <v>44.328369375000001</v>
      </c>
      <c r="AN8">
        <f t="shared" si="13"/>
        <v>163.82971543213111</v>
      </c>
      <c r="AQ8">
        <f t="shared" si="28"/>
        <v>3.2</v>
      </c>
      <c r="AR8">
        <f t="shared" si="14"/>
        <v>11.744</v>
      </c>
      <c r="AS8">
        <f t="shared" si="15"/>
        <v>1.3177380426190921</v>
      </c>
      <c r="AT8">
        <f t="shared" si="16"/>
        <v>0.3096684400154866</v>
      </c>
      <c r="AU8">
        <f t="shared" si="17"/>
        <v>1.6274064826345787</v>
      </c>
      <c r="AV8">
        <f t="shared" si="18"/>
        <v>13.371406482634578</v>
      </c>
      <c r="BA8">
        <f t="shared" si="19"/>
        <v>221.641846875</v>
      </c>
      <c r="BB8">
        <f t="shared" si="20"/>
        <v>4.0548000000000002</v>
      </c>
      <c r="BC8">
        <f t="shared" si="21"/>
        <v>4.0548000000000002</v>
      </c>
    </row>
    <row r="9" spans="1:55" ht="18.95">
      <c r="A9" s="39">
        <v>5</v>
      </c>
      <c r="B9" s="41" t="s">
        <v>117</v>
      </c>
      <c r="C9">
        <v>0.56000000000000005</v>
      </c>
      <c r="D9" s="45">
        <f t="shared" si="0"/>
        <v>4.6500000000000004</v>
      </c>
      <c r="E9">
        <f t="shared" si="22"/>
        <v>6.1787446389068963</v>
      </c>
      <c r="F9">
        <f t="shared" si="1"/>
        <v>4.5397651157705932</v>
      </c>
      <c r="G9">
        <f t="shared" si="29"/>
        <v>44.106727528124999</v>
      </c>
      <c r="H9">
        <f t="shared" si="2"/>
        <v>95.111236926415685</v>
      </c>
      <c r="J9" s="40" t="s">
        <v>39</v>
      </c>
      <c r="K9">
        <v>0.82499999999999996</v>
      </c>
      <c r="L9" s="45">
        <f t="shared" si="3"/>
        <v>4.6500000000000004</v>
      </c>
      <c r="M9">
        <f t="shared" si="23"/>
        <v>6.1787446389068963</v>
      </c>
      <c r="N9">
        <f t="shared" si="4"/>
        <v>6.6261448086095758</v>
      </c>
      <c r="O9">
        <f t="shared" si="30"/>
        <v>44.106727528124999</v>
      </c>
      <c r="P9">
        <f t="shared" si="5"/>
        <v>138.8223427267402</v>
      </c>
      <c r="R9" s="41" t="s">
        <v>118</v>
      </c>
      <c r="S9">
        <v>0.65</v>
      </c>
      <c r="T9" s="45">
        <f t="shared" si="6"/>
        <v>3.5805000000000002</v>
      </c>
      <c r="U9">
        <f t="shared" si="24"/>
        <v>5.1938214927681479</v>
      </c>
      <c r="V9">
        <f t="shared" si="7"/>
        <v>2.6609204464500009</v>
      </c>
      <c r="W9">
        <f t="shared" si="31"/>
        <v>44.106727528124999</v>
      </c>
      <c r="X9">
        <f t="shared" si="8"/>
        <v>55.748134225153784</v>
      </c>
      <c r="Z9" s="40" t="s">
        <v>44</v>
      </c>
      <c r="AA9">
        <v>0.215</v>
      </c>
      <c r="AB9" s="45">
        <f t="shared" si="9"/>
        <v>5.4870000000000001</v>
      </c>
      <c r="AC9">
        <f t="shared" si="25"/>
        <v>6.8804031499619134</v>
      </c>
      <c r="AD9">
        <f t="shared" si="10"/>
        <v>2.7363270024686415</v>
      </c>
      <c r="AE9">
        <f t="shared" si="32"/>
        <v>44.106727528124999</v>
      </c>
      <c r="AF9">
        <f t="shared" si="26"/>
        <v>57.327954024724313</v>
      </c>
      <c r="AH9" s="41" t="s">
        <v>61</v>
      </c>
      <c r="AI9">
        <v>0.6</v>
      </c>
      <c r="AJ9" s="45">
        <f t="shared" si="11"/>
        <v>6.9750000000000005</v>
      </c>
      <c r="AK9">
        <f t="shared" si="27"/>
        <v>8</v>
      </c>
      <c r="AL9">
        <f t="shared" si="12"/>
        <v>13.788112353116588</v>
      </c>
      <c r="AM9">
        <f t="shared" si="33"/>
        <v>44.106727528124999</v>
      </c>
      <c r="AN9">
        <f t="shared" si="13"/>
        <v>288.87054447589168</v>
      </c>
      <c r="AQ9">
        <f t="shared" si="28"/>
        <v>4</v>
      </c>
      <c r="AR9">
        <f t="shared" si="14"/>
        <v>14.68</v>
      </c>
      <c r="AS9">
        <f t="shared" si="15"/>
        <v>2.3336803794306569</v>
      </c>
      <c r="AT9">
        <f t="shared" si="16"/>
        <v>0.54841488916620429</v>
      </c>
      <c r="AU9">
        <f t="shared" si="17"/>
        <v>2.8820952685968613</v>
      </c>
      <c r="AV9">
        <f t="shared" si="18"/>
        <v>17.56209526859686</v>
      </c>
      <c r="AX9" s="38" t="s">
        <v>110</v>
      </c>
      <c r="AY9" s="1" t="s">
        <v>111</v>
      </c>
      <c r="BA9">
        <f t="shared" si="19"/>
        <v>220.53363764062499</v>
      </c>
      <c r="BB9" s="30">
        <f t="shared" si="20"/>
        <v>5.0685000000000002</v>
      </c>
      <c r="BC9" s="30">
        <f t="shared" si="21"/>
        <v>5.0685000000000002</v>
      </c>
    </row>
    <row r="10" spans="1:55">
      <c r="A10" s="39">
        <v>6</v>
      </c>
      <c r="B10" s="41" t="s">
        <v>117</v>
      </c>
      <c r="C10">
        <v>0.56000000000000005</v>
      </c>
      <c r="D10" s="45">
        <f t="shared" si="0"/>
        <v>5.58</v>
      </c>
      <c r="E10">
        <f t="shared" si="22"/>
        <v>6.9552406681794228</v>
      </c>
      <c r="F10">
        <f t="shared" si="1"/>
        <v>7.2739984678918024</v>
      </c>
      <c r="G10">
        <f t="shared" si="29"/>
        <v>43.886193890484371</v>
      </c>
      <c r="H10">
        <f t="shared" si="2"/>
        <v>151.63335088246831</v>
      </c>
      <c r="J10" s="40" t="s">
        <v>39</v>
      </c>
      <c r="K10">
        <v>0.82499999999999996</v>
      </c>
      <c r="L10" s="45">
        <f t="shared" si="3"/>
        <v>5.58</v>
      </c>
      <c r="M10">
        <f t="shared" si="23"/>
        <v>6.9552406681794228</v>
      </c>
      <c r="N10">
        <f t="shared" si="4"/>
        <v>10.616973776554936</v>
      </c>
      <c r="O10">
        <f t="shared" si="30"/>
        <v>43.886193890484371</v>
      </c>
      <c r="P10">
        <f t="shared" si="5"/>
        <v>221.32082060183706</v>
      </c>
      <c r="R10" s="41" t="s">
        <v>118</v>
      </c>
      <c r="S10">
        <v>0.65</v>
      </c>
      <c r="T10" s="45">
        <f t="shared" si="6"/>
        <v>4.2966000000000006</v>
      </c>
      <c r="U10">
        <f t="shared" si="24"/>
        <v>5.8655157807303837</v>
      </c>
      <c r="V10">
        <f t="shared" si="7"/>
        <v>4.2770587003014464</v>
      </c>
      <c r="W10">
        <f t="shared" si="31"/>
        <v>43.886193890484371</v>
      </c>
      <c r="X10">
        <f t="shared" si="8"/>
        <v>89.159318016145875</v>
      </c>
      <c r="Z10" s="40" t="s">
        <v>44</v>
      </c>
      <c r="AA10">
        <v>0.215</v>
      </c>
      <c r="AB10" s="45">
        <f t="shared" si="9"/>
        <v>6.5844000000000005</v>
      </c>
      <c r="AC10">
        <f t="shared" si="25"/>
        <v>7.7292012974714499</v>
      </c>
      <c r="AD10">
        <f t="shared" si="10"/>
        <v>4.375604123787765</v>
      </c>
      <c r="AE10">
        <f t="shared" si="32"/>
        <v>43.886193890484371</v>
      </c>
      <c r="AF10">
        <f t="shared" si="26"/>
        <v>91.213590208162586</v>
      </c>
      <c r="AH10" s="41" t="s">
        <v>61</v>
      </c>
      <c r="AI10">
        <v>0.6</v>
      </c>
      <c r="AJ10" s="45">
        <f t="shared" si="11"/>
        <v>8.370000000000001</v>
      </c>
      <c r="AK10">
        <f t="shared" si="27"/>
        <v>8</v>
      </c>
      <c r="AL10">
        <f t="shared" si="12"/>
        <v>19.681881192373996</v>
      </c>
      <c r="AM10">
        <f t="shared" si="33"/>
        <v>43.886193890484371</v>
      </c>
      <c r="AN10">
        <f t="shared" si="13"/>
        <v>410.28735571555137</v>
      </c>
      <c r="AQ10">
        <f t="shared" si="28"/>
        <v>4.8</v>
      </c>
      <c r="AR10">
        <f t="shared" si="14"/>
        <v>17.616</v>
      </c>
      <c r="AS10">
        <f t="shared" si="15"/>
        <v>3.5364649780066859</v>
      </c>
      <c r="AT10">
        <f t="shared" si="16"/>
        <v>0.83106926983157114</v>
      </c>
      <c r="AU10">
        <f t="shared" si="17"/>
        <v>4.3675342478382575</v>
      </c>
      <c r="AV10">
        <f t="shared" si="18"/>
        <v>21.983534247838257</v>
      </c>
      <c r="AX10">
        <f>AX7*0.2</f>
        <v>314.78293685322916</v>
      </c>
      <c r="AY10">
        <f>AX10/AX4</f>
        <v>49.416473603332676</v>
      </c>
      <c r="BA10">
        <f t="shared" si="19"/>
        <v>219.43096945242186</v>
      </c>
      <c r="BB10">
        <f t="shared" si="20"/>
        <v>6.0822000000000012</v>
      </c>
      <c r="BC10">
        <f t="shared" si="21"/>
        <v>6.0822000000000003</v>
      </c>
    </row>
    <row r="11" spans="1:55">
      <c r="A11" s="39">
        <v>7</v>
      </c>
      <c r="B11" s="41" t="s">
        <v>117</v>
      </c>
      <c r="C11">
        <v>0.56000000000000005</v>
      </c>
      <c r="D11" s="45">
        <f t="shared" si="0"/>
        <v>6.5100000000000007</v>
      </c>
      <c r="E11">
        <f t="shared" si="22"/>
        <v>7.6738700839854843</v>
      </c>
      <c r="F11">
        <f t="shared" si="1"/>
        <v>10.817596152202505</v>
      </c>
      <c r="G11">
        <f t="shared" si="29"/>
        <v>43.666762921031946</v>
      </c>
      <c r="H11">
        <f t="shared" si="2"/>
        <v>224.37546811300473</v>
      </c>
      <c r="J11" s="40" t="s">
        <v>39</v>
      </c>
      <c r="K11">
        <v>0.82499999999999996</v>
      </c>
      <c r="L11" s="45">
        <f t="shared" si="3"/>
        <v>6.5100000000000007</v>
      </c>
      <c r="M11">
        <f t="shared" si="23"/>
        <v>7.6738700839854843</v>
      </c>
      <c r="N11">
        <f t="shared" si="4"/>
        <v>15.78913374538862</v>
      </c>
      <c r="O11">
        <f t="shared" si="30"/>
        <v>43.666762921031946</v>
      </c>
      <c r="P11">
        <f t="shared" si="5"/>
        <v>327.4936709944663</v>
      </c>
      <c r="R11" s="41" t="s">
        <v>118</v>
      </c>
      <c r="S11">
        <v>0.65</v>
      </c>
      <c r="T11" s="45">
        <f t="shared" si="6"/>
        <v>5.0127000000000006</v>
      </c>
      <c r="U11">
        <f t="shared" si="24"/>
        <v>6.4893069919682</v>
      </c>
      <c r="V11">
        <f t="shared" si="7"/>
        <v>6.3776994003589627</v>
      </c>
      <c r="W11">
        <f t="shared" si="31"/>
        <v>43.666762921031946</v>
      </c>
      <c r="X11">
        <f t="shared" si="8"/>
        <v>132.28440665611413</v>
      </c>
      <c r="Z11" s="40" t="s">
        <v>44</v>
      </c>
      <c r="AA11">
        <v>0.215</v>
      </c>
      <c r="AB11" s="45">
        <f t="shared" si="9"/>
        <v>7.6818</v>
      </c>
      <c r="AC11">
        <f t="shared" si="25"/>
        <v>8.5130152905121328</v>
      </c>
      <c r="AD11">
        <f t="shared" si="10"/>
        <v>6.4962118678313692</v>
      </c>
      <c r="AE11">
        <f t="shared" si="32"/>
        <v>43.666762921031946</v>
      </c>
      <c r="AF11">
        <f t="shared" si="26"/>
        <v>134.7425581707586</v>
      </c>
      <c r="AH11" s="41" t="s">
        <v>61</v>
      </c>
      <c r="AI11">
        <v>0.6</v>
      </c>
      <c r="AJ11" s="45">
        <f t="shared" si="11"/>
        <v>9.7650000000000006</v>
      </c>
      <c r="AK11">
        <f t="shared" si="27"/>
        <v>8</v>
      </c>
      <c r="AL11">
        <f t="shared" si="12"/>
        <v>26.591738986146954</v>
      </c>
      <c r="AM11">
        <f t="shared" si="33"/>
        <v>43.666762921031946</v>
      </c>
      <c r="AN11">
        <f t="shared" si="13"/>
        <v>551.55820193386967</v>
      </c>
      <c r="AQ11">
        <f t="shared" si="28"/>
        <v>5.6</v>
      </c>
      <c r="AR11">
        <f t="shared" si="14"/>
        <v>20.552</v>
      </c>
      <c r="AS11">
        <f t="shared" si="15"/>
        <v>5.0295673025363428</v>
      </c>
      <c r="AT11">
        <f t="shared" si="16"/>
        <v>1.1819483160960405</v>
      </c>
      <c r="AU11">
        <f t="shared" si="17"/>
        <v>6.211515618632383</v>
      </c>
      <c r="AV11">
        <f t="shared" si="18"/>
        <v>26.763515618632383</v>
      </c>
      <c r="BA11">
        <f t="shared" si="19"/>
        <v>218.33381460515972</v>
      </c>
      <c r="BB11" s="30">
        <f t="shared" si="20"/>
        <v>7.0959000000000003</v>
      </c>
      <c r="BC11" s="30">
        <f t="shared" si="21"/>
        <v>7.0959000000000003</v>
      </c>
    </row>
    <row r="12" spans="1:55" ht="18.95">
      <c r="A12" s="39">
        <v>8</v>
      </c>
      <c r="B12" s="41" t="s">
        <v>117</v>
      </c>
      <c r="C12">
        <v>0.56000000000000005</v>
      </c>
      <c r="D12" s="45">
        <f t="shared" si="0"/>
        <v>7.44</v>
      </c>
      <c r="E12">
        <f t="shared" si="22"/>
        <v>8.3452165344823772</v>
      </c>
      <c r="F12">
        <f t="shared" si="1"/>
        <v>15.236318970655786</v>
      </c>
      <c r="G12">
        <f t="shared" si="29"/>
        <v>43.448429106426786</v>
      </c>
      <c r="H12">
        <f t="shared" si="2"/>
        <v>314.44720920373567</v>
      </c>
      <c r="J12" s="40" t="s">
        <v>39</v>
      </c>
      <c r="K12">
        <v>0.82499999999999996</v>
      </c>
      <c r="L12" s="45">
        <f t="shared" si="3"/>
        <v>7.44</v>
      </c>
      <c r="M12">
        <f t="shared" si="23"/>
        <v>8.3452165344823772</v>
      </c>
      <c r="N12">
        <f t="shared" si="4"/>
        <v>22.238607785899386</v>
      </c>
      <c r="O12">
        <f t="shared" si="30"/>
        <v>43.448429106426786</v>
      </c>
      <c r="P12">
        <f t="shared" si="5"/>
        <v>458.96047256035814</v>
      </c>
      <c r="R12" s="41" t="s">
        <v>118</v>
      </c>
      <c r="S12">
        <v>0.65</v>
      </c>
      <c r="T12" s="45">
        <f t="shared" si="6"/>
        <v>5.7288000000000006</v>
      </c>
      <c r="U12">
        <f t="shared" si="24"/>
        <v>7.073790067146053</v>
      </c>
      <c r="V12">
        <f t="shared" si="7"/>
        <v>9.0036640274576598</v>
      </c>
      <c r="W12">
        <f t="shared" si="31"/>
        <v>43.448429106426786</v>
      </c>
      <c r="X12">
        <f t="shared" si="8"/>
        <v>185.81765264266261</v>
      </c>
      <c r="Z12" s="40" t="s">
        <v>44</v>
      </c>
      <c r="AA12">
        <v>0.215</v>
      </c>
      <c r="AB12" s="45">
        <f t="shared" si="9"/>
        <v>8.7791999999999994</v>
      </c>
      <c r="AC12">
        <f t="shared" si="25"/>
        <v>9.2438711350036016</v>
      </c>
      <c r="AD12">
        <f t="shared" si="10"/>
        <v>9.1363439097237116</v>
      </c>
      <c r="AE12">
        <f t="shared" si="32"/>
        <v>43.448429106426786</v>
      </c>
      <c r="AF12">
        <f t="shared" si="26"/>
        <v>188.55590056044329</v>
      </c>
      <c r="AH12" s="41" t="s">
        <v>61</v>
      </c>
      <c r="AI12">
        <v>0.6</v>
      </c>
      <c r="AJ12" s="45">
        <f t="shared" si="11"/>
        <v>11.16</v>
      </c>
      <c r="AK12">
        <f t="shared" si="27"/>
        <v>8</v>
      </c>
      <c r="AL12">
        <f t="shared" si="12"/>
        <v>34.510163730154332</v>
      </c>
      <c r="AM12">
        <f t="shared" si="33"/>
        <v>43.448429106426786</v>
      </c>
      <c r="AN12">
        <f t="shared" si="13"/>
        <v>712.22089108337593</v>
      </c>
      <c r="AQ12">
        <f t="shared" si="28"/>
        <v>6.3999999999999995</v>
      </c>
      <c r="AR12">
        <f t="shared" si="14"/>
        <v>23.487999999999996</v>
      </c>
      <c r="AS12">
        <f t="shared" si="15"/>
        <v>6.8262078026056114</v>
      </c>
      <c r="AT12">
        <f t="shared" si="16"/>
        <v>1.6041588336123187</v>
      </c>
      <c r="AU12">
        <f t="shared" si="17"/>
        <v>8.4303666362179293</v>
      </c>
      <c r="AV12">
        <f t="shared" si="18"/>
        <v>31.918366636217925</v>
      </c>
      <c r="AX12" s="38" t="s">
        <v>112</v>
      </c>
      <c r="AY12" t="s">
        <v>119</v>
      </c>
      <c r="BA12">
        <f t="shared" si="19"/>
        <v>217.24214553213392</v>
      </c>
      <c r="BB12">
        <f t="shared" si="20"/>
        <v>8.1096000000000004</v>
      </c>
      <c r="BC12">
        <f t="shared" si="21"/>
        <v>8.1096000000000004</v>
      </c>
    </row>
    <row r="13" spans="1:55">
      <c r="A13" s="39">
        <v>9</v>
      </c>
      <c r="B13" s="41" t="s">
        <v>117</v>
      </c>
      <c r="C13">
        <v>0.56000000000000005</v>
      </c>
      <c r="D13" s="45">
        <f t="shared" si="0"/>
        <v>8.370000000000001</v>
      </c>
      <c r="E13">
        <f t="shared" si="22"/>
        <v>8.9769341186041984</v>
      </c>
      <c r="F13">
        <f t="shared" si="1"/>
        <v>20.590156026713146</v>
      </c>
      <c r="G13">
        <f t="shared" si="29"/>
        <v>43.231186960894654</v>
      </c>
      <c r="H13">
        <f t="shared" si="2"/>
        <v>422.81502025379319</v>
      </c>
      <c r="J13" s="40" t="s">
        <v>39</v>
      </c>
      <c r="K13">
        <v>0.82499999999999996</v>
      </c>
      <c r="L13" s="45">
        <f t="shared" si="3"/>
        <v>8.370000000000001</v>
      </c>
      <c r="M13">
        <f t="shared" si="23"/>
        <v>8.9769341186041984</v>
      </c>
      <c r="N13">
        <f t="shared" si="4"/>
        <v>30.052954720259297</v>
      </c>
      <c r="O13">
        <f t="shared" si="30"/>
        <v>43.231186960894654</v>
      </c>
      <c r="P13">
        <f t="shared" si="5"/>
        <v>617.13182951344481</v>
      </c>
      <c r="R13" s="41" t="s">
        <v>118</v>
      </c>
      <c r="S13">
        <v>0.65</v>
      </c>
      <c r="T13" s="45">
        <f t="shared" si="6"/>
        <v>6.4449000000000005</v>
      </c>
      <c r="U13">
        <f t="shared" si="24"/>
        <v>7.6252084186415381</v>
      </c>
      <c r="V13">
        <f t="shared" si="7"/>
        <v>12.192314796011619</v>
      </c>
      <c r="W13">
        <f t="shared" si="31"/>
        <v>43.231186960894654</v>
      </c>
      <c r="X13">
        <f t="shared" si="8"/>
        <v>250.36691420541871</v>
      </c>
      <c r="Z13" s="40" t="s">
        <v>44</v>
      </c>
      <c r="AA13">
        <v>0.215</v>
      </c>
      <c r="AB13" s="45">
        <f t="shared" si="9"/>
        <v>9.8765999999999998</v>
      </c>
      <c r="AC13">
        <f t="shared" si="25"/>
        <v>9.9304422442777298</v>
      </c>
      <c r="AD13">
        <f t="shared" si="10"/>
        <v>12.330767727205059</v>
      </c>
      <c r="AE13">
        <f t="shared" si="32"/>
        <v>43.231186960894654</v>
      </c>
      <c r="AF13">
        <f t="shared" si="26"/>
        <v>253.21001936842976</v>
      </c>
      <c r="AH13" s="41" t="s">
        <v>61</v>
      </c>
      <c r="AI13">
        <v>0.6</v>
      </c>
      <c r="AJ13" s="45">
        <f t="shared" si="11"/>
        <v>12.555000000000001</v>
      </c>
      <c r="AK13">
        <f t="shared" si="27"/>
        <v>8</v>
      </c>
      <c r="AL13">
        <f t="shared" si="12"/>
        <v>43.430691436274564</v>
      </c>
      <c r="AM13">
        <f t="shared" si="33"/>
        <v>43.231186960894654</v>
      </c>
      <c r="AN13">
        <f t="shared" si="13"/>
        <v>891.84116212819322</v>
      </c>
      <c r="AQ13">
        <f t="shared" si="28"/>
        <v>7.1999999999999993</v>
      </c>
      <c r="AR13">
        <f t="shared" si="14"/>
        <v>26.423999999999996</v>
      </c>
      <c r="AS13">
        <f t="shared" si="15"/>
        <v>8.9377893498722543</v>
      </c>
      <c r="AT13">
        <f t="shared" si="16"/>
        <v>2.1003804972199798</v>
      </c>
      <c r="AU13">
        <f t="shared" si="17"/>
        <v>11.038169847092234</v>
      </c>
      <c r="AV13">
        <f t="shared" si="18"/>
        <v>37.462169847092227</v>
      </c>
      <c r="AX13">
        <f>AX7-AX10</f>
        <v>1259.1317474129166</v>
      </c>
      <c r="AY13">
        <f>AX13/AX4</f>
        <v>197.6658944133307</v>
      </c>
      <c r="BA13">
        <f t="shared" si="19"/>
        <v>216.15593480447328</v>
      </c>
      <c r="BB13">
        <f t="shared" si="20"/>
        <v>9.1233000000000004</v>
      </c>
      <c r="BC13">
        <f t="shared" si="21"/>
        <v>9.1233000000000004</v>
      </c>
    </row>
    <row r="14" spans="1:55">
      <c r="A14" s="39">
        <v>10</v>
      </c>
      <c r="B14" s="41" t="s">
        <v>117</v>
      </c>
      <c r="C14">
        <v>0.56000000000000005</v>
      </c>
      <c r="D14" s="45">
        <f t="shared" si="0"/>
        <v>9.3000000000000007</v>
      </c>
      <c r="E14">
        <f t="shared" si="22"/>
        <v>9.5747828932343708</v>
      </c>
      <c r="F14">
        <f t="shared" si="1"/>
        <v>26.934389420163505</v>
      </c>
      <c r="G14">
        <f t="shared" si="29"/>
        <v>43.015031026090178</v>
      </c>
      <c r="H14">
        <f t="shared" si="2"/>
        <v>550.32720837413592</v>
      </c>
      <c r="J14" s="40" t="s">
        <v>39</v>
      </c>
      <c r="K14">
        <v>0.82499999999999996</v>
      </c>
      <c r="L14" s="45">
        <f t="shared" si="3"/>
        <v>9.3000000000000007</v>
      </c>
      <c r="M14">
        <f t="shared" si="23"/>
        <v>9.5747828932343708</v>
      </c>
      <c r="N14">
        <f t="shared" si="4"/>
        <v>39.312863127983853</v>
      </c>
      <c r="O14">
        <f t="shared" si="30"/>
        <v>43.015031026090178</v>
      </c>
      <c r="P14">
        <f t="shared" si="5"/>
        <v>803.24591290796445</v>
      </c>
      <c r="R14" s="41" t="s">
        <v>118</v>
      </c>
      <c r="S14">
        <v>0.65</v>
      </c>
      <c r="T14" s="45">
        <f t="shared" si="6"/>
        <v>7.1610000000000005</v>
      </c>
      <c r="U14">
        <f t="shared" si="24"/>
        <v>8.1482783222958837</v>
      </c>
      <c r="V14">
        <f t="shared" si="7"/>
        <v>15.978182811960284</v>
      </c>
      <c r="W14">
        <f t="shared" si="31"/>
        <v>43.015031026090178</v>
      </c>
      <c r="X14">
        <f t="shared" si="8"/>
        <v>326.46846396358092</v>
      </c>
      <c r="Z14" s="40" t="s">
        <v>44</v>
      </c>
      <c r="AA14">
        <v>0.215</v>
      </c>
      <c r="AB14" s="45">
        <f t="shared" si="9"/>
        <v>10.974</v>
      </c>
      <c r="AC14">
        <f t="shared" si="25"/>
        <v>10.579240433676681</v>
      </c>
      <c r="AD14">
        <f t="shared" si="10"/>
        <v>16.111462865864613</v>
      </c>
      <c r="AE14">
        <f t="shared" si="32"/>
        <v>43.015031026090178</v>
      </c>
      <c r="AF14">
        <f t="shared" si="26"/>
        <v>329.19166064916141</v>
      </c>
      <c r="AH14" s="41" t="s">
        <v>61</v>
      </c>
      <c r="AI14">
        <v>0.6</v>
      </c>
      <c r="AJ14" s="45">
        <f t="shared" si="11"/>
        <v>13.950000000000001</v>
      </c>
      <c r="AK14">
        <f t="shared" si="27"/>
        <v>8</v>
      </c>
      <c r="AL14">
        <f t="shared" si="12"/>
        <v>53.347658836908529</v>
      </c>
      <c r="AM14">
        <f t="shared" si="33"/>
        <v>43.015031026090178</v>
      </c>
      <c r="AN14">
        <f t="shared" si="13"/>
        <v>1090.0068200184746</v>
      </c>
      <c r="AQ14">
        <f t="shared" si="28"/>
        <v>7.9999999999999991</v>
      </c>
      <c r="AR14">
        <f t="shared" si="14"/>
        <v>29.359999999999996</v>
      </c>
      <c r="AS14">
        <f t="shared" si="15"/>
        <v>11.374211041901873</v>
      </c>
      <c r="AT14">
        <f t="shared" si="16"/>
        <v>2.6729395948469401</v>
      </c>
      <c r="AU14">
        <f t="shared" si="17"/>
        <v>14.047150636748814</v>
      </c>
      <c r="AV14">
        <f t="shared" si="18"/>
        <v>43.40715063674881</v>
      </c>
      <c r="BA14">
        <f t="shared" si="19"/>
        <v>215.0751551304509</v>
      </c>
      <c r="BB14" s="30">
        <f t="shared" si="20"/>
        <v>10.137</v>
      </c>
      <c r="BC14" s="30">
        <f t="shared" si="21"/>
        <v>10.137</v>
      </c>
    </row>
    <row r="15" spans="1:55">
      <c r="A15" s="39">
        <v>11</v>
      </c>
      <c r="B15" s="41" t="s">
        <v>117</v>
      </c>
      <c r="C15">
        <v>0.56000000000000005</v>
      </c>
      <c r="D15" s="45">
        <f t="shared" si="0"/>
        <v>10.23</v>
      </c>
      <c r="E15">
        <f t="shared" si="22"/>
        <v>10.143233278539444</v>
      </c>
      <c r="F15">
        <f t="shared" si="1"/>
        <v>34.320372696715978</v>
      </c>
      <c r="G15">
        <f t="shared" si="29"/>
        <v>42.799955870959728</v>
      </c>
      <c r="H15">
        <f t="shared" si="2"/>
        <v>697.73245752480909</v>
      </c>
      <c r="J15" s="40" t="s">
        <v>39</v>
      </c>
      <c r="K15">
        <v>0.82499999999999996</v>
      </c>
      <c r="L15" s="45">
        <f t="shared" si="3"/>
        <v>10.23</v>
      </c>
      <c r="M15">
        <f t="shared" si="23"/>
        <v>10.143233278539444</v>
      </c>
      <c r="N15">
        <f t="shared" si="4"/>
        <v>50.093287554435221</v>
      </c>
      <c r="O15">
        <f t="shared" si="30"/>
        <v>42.799955870959728</v>
      </c>
      <c r="P15">
        <f t="shared" si="5"/>
        <v>1018.3954859615337</v>
      </c>
      <c r="R15" s="41" t="s">
        <v>118</v>
      </c>
      <c r="S15">
        <v>0.65</v>
      </c>
      <c r="T15" s="45">
        <f t="shared" si="6"/>
        <v>7.8771000000000013</v>
      </c>
      <c r="U15">
        <f t="shared" si="24"/>
        <v>8.6466722496810338</v>
      </c>
      <c r="V15">
        <f t="shared" si="7"/>
        <v>20.393428958884734</v>
      </c>
      <c r="W15">
        <f t="shared" si="31"/>
        <v>42.799955870959728</v>
      </c>
      <c r="X15">
        <f t="shared" si="8"/>
        <v>414.59798326146392</v>
      </c>
      <c r="Z15" s="40" t="s">
        <v>44</v>
      </c>
      <c r="AA15">
        <v>0.215</v>
      </c>
      <c r="AB15" s="45">
        <f t="shared" si="9"/>
        <v>12.071399999999999</v>
      </c>
      <c r="AC15">
        <f t="shared" si="25"/>
        <v>11.19530918137259</v>
      </c>
      <c r="AD15">
        <f t="shared" si="10"/>
        <v>20.508086576122103</v>
      </c>
      <c r="AE15">
        <f t="shared" si="32"/>
        <v>42.799955870959728</v>
      </c>
      <c r="AF15">
        <f t="shared" si="26"/>
        <v>416.9289702165276</v>
      </c>
      <c r="AH15" s="41" t="s">
        <v>61</v>
      </c>
      <c r="AI15">
        <v>0.6</v>
      </c>
      <c r="AJ15" s="45">
        <f t="shared" si="11"/>
        <v>15.345000000000001</v>
      </c>
      <c r="AK15">
        <f t="shared" si="27"/>
        <v>8</v>
      </c>
      <c r="AL15">
        <f t="shared" si="12"/>
        <v>64.256029560286038</v>
      </c>
      <c r="AM15">
        <f t="shared" si="33"/>
        <v>42.799955870959728</v>
      </c>
      <c r="AN15">
        <f t="shared" si="13"/>
        <v>1306.3237340710798</v>
      </c>
      <c r="AQ15">
        <f t="shared" si="28"/>
        <v>8.7999999999999989</v>
      </c>
      <c r="AR15">
        <f t="shared" si="14"/>
        <v>32.295999999999992</v>
      </c>
      <c r="AS15">
        <f t="shared" si="15"/>
        <v>14.144101575899969</v>
      </c>
      <c r="AT15">
        <f t="shared" si="16"/>
        <v>3.3238638703364924</v>
      </c>
      <c r="AU15">
        <f t="shared" si="17"/>
        <v>17.467965446236462</v>
      </c>
      <c r="AV15">
        <f t="shared" si="18"/>
        <v>49.763965446236455</v>
      </c>
      <c r="BA15">
        <f t="shared" si="19"/>
        <v>213.99977935479865</v>
      </c>
      <c r="BB15">
        <f t="shared" si="20"/>
        <v>11.150700000000001</v>
      </c>
      <c r="BC15">
        <f t="shared" si="21"/>
        <v>11.150700000000001</v>
      </c>
    </row>
    <row r="16" spans="1:55">
      <c r="A16" s="39">
        <v>12</v>
      </c>
      <c r="B16" s="41" t="s">
        <v>117</v>
      </c>
      <c r="C16">
        <v>0.56000000000000005</v>
      </c>
      <c r="D16" s="45">
        <f t="shared" si="0"/>
        <v>11.16</v>
      </c>
      <c r="E16">
        <f t="shared" si="22"/>
        <v>10.685841331129799</v>
      </c>
      <c r="F16">
        <f t="shared" si="1"/>
        <v>42.796120176730483</v>
      </c>
      <c r="G16">
        <f t="shared" si="29"/>
        <v>42.585956091604928</v>
      </c>
      <c r="H16">
        <f t="shared" si="2"/>
        <v>865.69400500021368</v>
      </c>
      <c r="J16" s="40" t="s">
        <v>39</v>
      </c>
      <c r="K16">
        <v>0.82499999999999996</v>
      </c>
      <c r="L16" s="45">
        <f t="shared" si="3"/>
        <v>11.16</v>
      </c>
      <c r="M16">
        <f t="shared" si="23"/>
        <v>10.685841331129799</v>
      </c>
      <c r="N16">
        <f t="shared" si="4"/>
        <v>62.464308682529619</v>
      </c>
      <c r="O16">
        <f t="shared" si="30"/>
        <v>42.585956091604928</v>
      </c>
      <c r="P16">
        <f t="shared" si="5"/>
        <v>1263.5485957521648</v>
      </c>
      <c r="R16" s="41" t="s">
        <v>118</v>
      </c>
      <c r="S16">
        <v>0.65</v>
      </c>
      <c r="T16" s="45">
        <f t="shared" si="6"/>
        <v>8.5932000000000013</v>
      </c>
      <c r="U16">
        <f t="shared" si="24"/>
        <v>9.123320120004168</v>
      </c>
      <c r="V16">
        <f t="shared" si="7"/>
        <v>25.468193888789724</v>
      </c>
      <c r="W16">
        <f t="shared" si="31"/>
        <v>42.585956091604928</v>
      </c>
      <c r="X16">
        <f t="shared" si="8"/>
        <v>515.17900867322805</v>
      </c>
      <c r="Z16" s="40" t="s">
        <v>44</v>
      </c>
      <c r="AA16">
        <v>0.215</v>
      </c>
      <c r="AB16" s="45">
        <f t="shared" si="9"/>
        <v>13.168800000000001</v>
      </c>
      <c r="AC16">
        <f t="shared" si="25"/>
        <v>11.782653058379694</v>
      </c>
      <c r="AD16">
        <f t="shared" si="10"/>
        <v>25.548325641500785</v>
      </c>
      <c r="AE16">
        <f t="shared" si="32"/>
        <v>42.585956091604928</v>
      </c>
      <c r="AF16">
        <f t="shared" si="26"/>
        <v>516.79994014191391</v>
      </c>
      <c r="AH16" s="41" t="s">
        <v>61</v>
      </c>
      <c r="AI16">
        <v>0.6</v>
      </c>
      <c r="AJ16" s="45">
        <f t="shared" si="11"/>
        <v>16.740000000000002</v>
      </c>
      <c r="AK16">
        <f t="shared" si="27"/>
        <v>8</v>
      </c>
      <c r="AL16">
        <f t="shared" si="12"/>
        <v>76.151271198627953</v>
      </c>
      <c r="AM16">
        <f t="shared" si="33"/>
        <v>42.585956091604928</v>
      </c>
      <c r="AN16">
        <f t="shared" si="13"/>
        <v>1540.4129785027178</v>
      </c>
      <c r="AQ16">
        <f t="shared" si="28"/>
        <v>9.6</v>
      </c>
      <c r="AR16">
        <f t="shared" si="14"/>
        <v>35.231999999999999</v>
      </c>
      <c r="AS16">
        <f t="shared" si="15"/>
        <v>17.254998718017774</v>
      </c>
      <c r="AT16">
        <f t="shared" si="16"/>
        <v>4.0549246987341769</v>
      </c>
      <c r="AU16">
        <f t="shared" si="17"/>
        <v>21.30992341675195</v>
      </c>
      <c r="AV16">
        <f t="shared" si="18"/>
        <v>56.541923416751949</v>
      </c>
      <c r="BA16">
        <f t="shared" si="19"/>
        <v>212.92978045802465</v>
      </c>
      <c r="BB16">
        <f t="shared" si="20"/>
        <v>12.164400000000002</v>
      </c>
      <c r="BC16">
        <f t="shared" si="21"/>
        <v>12.164400000000002</v>
      </c>
    </row>
    <row r="17" spans="1:55">
      <c r="A17" s="39">
        <v>13</v>
      </c>
      <c r="B17" s="41" t="s">
        <v>117</v>
      </c>
      <c r="C17">
        <v>0.56000000000000005</v>
      </c>
      <c r="D17" s="45">
        <f t="shared" si="0"/>
        <v>12.09</v>
      </c>
      <c r="E17">
        <f t="shared" si="22"/>
        <v>11.205493366958343</v>
      </c>
      <c r="F17">
        <f t="shared" si="1"/>
        <v>52.406765605814066</v>
      </c>
      <c r="G17">
        <f t="shared" si="29"/>
        <v>42.373026311146901</v>
      </c>
      <c r="H17">
        <f t="shared" si="2"/>
        <v>1054.8007975012022</v>
      </c>
      <c r="J17" s="40" t="s">
        <v>39</v>
      </c>
      <c r="K17">
        <v>0.82499999999999996</v>
      </c>
      <c r="L17" s="45">
        <f t="shared" si="3"/>
        <v>12.09</v>
      </c>
      <c r="M17">
        <f t="shared" si="23"/>
        <v>11.205493366958343</v>
      </c>
      <c r="N17">
        <f t="shared" si="4"/>
        <v>76.491802769412587</v>
      </c>
      <c r="O17">
        <f t="shared" si="30"/>
        <v>42.373026311146901</v>
      </c>
      <c r="P17">
        <f t="shared" si="5"/>
        <v>1539.5648563843049</v>
      </c>
      <c r="R17" s="41" t="s">
        <v>118</v>
      </c>
      <c r="S17">
        <v>0.65</v>
      </c>
      <c r="T17" s="45">
        <f t="shared" si="6"/>
        <v>9.3093000000000004</v>
      </c>
      <c r="U17">
        <f t="shared" si="24"/>
        <v>9.5806063332573324</v>
      </c>
      <c r="V17">
        <f t="shared" si="7"/>
        <v>31.230871154971929</v>
      </c>
      <c r="W17">
        <f t="shared" si="31"/>
        <v>42.373026311146901</v>
      </c>
      <c r="X17">
        <f t="shared" si="8"/>
        <v>628.58959945559059</v>
      </c>
      <c r="Z17" s="40" t="s">
        <v>44</v>
      </c>
      <c r="AA17">
        <v>0.215</v>
      </c>
      <c r="AB17" s="45">
        <f t="shared" si="9"/>
        <v>14.266200000000001</v>
      </c>
      <c r="AC17">
        <f t="shared" si="25"/>
        <v>12.344517074849783</v>
      </c>
      <c r="AD17">
        <f t="shared" si="10"/>
        <v>31.258169717232644</v>
      </c>
      <c r="AE17">
        <f t="shared" si="32"/>
        <v>42.373026311146901</v>
      </c>
      <c r="AF17">
        <f t="shared" si="26"/>
        <v>629.13904273663218</v>
      </c>
      <c r="AH17" s="41" t="s">
        <v>61</v>
      </c>
      <c r="AI17">
        <v>0.6</v>
      </c>
      <c r="AJ17" s="45">
        <f t="shared" si="11"/>
        <v>18.135000000000002</v>
      </c>
      <c r="AK17">
        <f t="shared" si="27"/>
        <v>8</v>
      </c>
      <c r="AL17">
        <f t="shared" si="12"/>
        <v>89.029265180157751</v>
      </c>
      <c r="AM17">
        <f t="shared" si="33"/>
        <v>42.373026311146901</v>
      </c>
      <c r="AN17">
        <f t="shared" si="13"/>
        <v>1791.908713071927</v>
      </c>
      <c r="AQ17">
        <f t="shared" si="28"/>
        <v>10.4</v>
      </c>
      <c r="AR17">
        <f t="shared" si="14"/>
        <v>38.167999999999999</v>
      </c>
      <c r="AS17">
        <f t="shared" si="15"/>
        <v>20.713491043579239</v>
      </c>
      <c r="AT17">
        <f t="shared" si="16"/>
        <v>4.8676703952411211</v>
      </c>
      <c r="AU17">
        <f t="shared" si="17"/>
        <v>25.581161438820359</v>
      </c>
      <c r="AV17">
        <f t="shared" si="18"/>
        <v>63.749161438820359</v>
      </c>
      <c r="BA17">
        <f t="shared" si="19"/>
        <v>211.86513155573451</v>
      </c>
      <c r="BB17">
        <f t="shared" si="20"/>
        <v>13.178100000000001</v>
      </c>
      <c r="BC17">
        <f t="shared" si="21"/>
        <v>13.178100000000001</v>
      </c>
    </row>
    <row r="18" spans="1:55">
      <c r="A18" s="39">
        <v>14</v>
      </c>
      <c r="B18" s="41" t="s">
        <v>117</v>
      </c>
      <c r="C18">
        <v>0.56000000000000005</v>
      </c>
      <c r="D18" s="45">
        <f t="shared" si="0"/>
        <v>13.020000000000001</v>
      </c>
      <c r="E18">
        <f t="shared" si="22"/>
        <v>11.704571823480883</v>
      </c>
      <c r="F18">
        <f t="shared" si="1"/>
        <v>63.194927221512479</v>
      </c>
      <c r="G18">
        <f t="shared" si="29"/>
        <v>42.161161179591168</v>
      </c>
      <c r="H18">
        <f t="shared" si="2"/>
        <v>1265.5764683513926</v>
      </c>
      <c r="J18" s="40" t="s">
        <v>39</v>
      </c>
      <c r="K18">
        <v>0.82499999999999996</v>
      </c>
      <c r="L18" s="45">
        <f t="shared" si="3"/>
        <v>13.020000000000001</v>
      </c>
      <c r="M18">
        <f t="shared" si="23"/>
        <v>11.704571823480883</v>
      </c>
      <c r="N18">
        <f t="shared" si="4"/>
        <v>92.237974490053972</v>
      </c>
      <c r="O18">
        <f t="shared" si="30"/>
        <v>42.161161179591168</v>
      </c>
      <c r="P18">
        <f t="shared" si="5"/>
        <v>1847.2085519432371</v>
      </c>
      <c r="R18" s="41" t="s">
        <v>118</v>
      </c>
      <c r="S18">
        <v>0.65</v>
      </c>
      <c r="T18" s="45">
        <f t="shared" si="6"/>
        <v>10.025400000000001</v>
      </c>
      <c r="U18">
        <f t="shared" si="24"/>
        <v>10.02050376546501</v>
      </c>
      <c r="V18">
        <f t="shared" si="7"/>
        <v>37.708325154905339</v>
      </c>
      <c r="W18">
        <f t="shared" si="31"/>
        <v>42.161161179591168</v>
      </c>
      <c r="X18">
        <f t="shared" si="8"/>
        <v>755.1677179674881</v>
      </c>
      <c r="Z18" s="40" t="s">
        <v>44</v>
      </c>
      <c r="AA18">
        <v>0.215</v>
      </c>
      <c r="AB18" s="45">
        <f t="shared" si="9"/>
        <v>15.3636</v>
      </c>
      <c r="AC18">
        <f t="shared" si="25"/>
        <v>12.883575736478459</v>
      </c>
      <c r="AD18">
        <f t="shared" si="10"/>
        <v>37.662128554903546</v>
      </c>
      <c r="AE18">
        <f t="shared" si="32"/>
        <v>42.161161179591168</v>
      </c>
      <c r="AF18">
        <f t="shared" si="26"/>
        <v>754.24255937564135</v>
      </c>
      <c r="AH18" s="41" t="s">
        <v>61</v>
      </c>
      <c r="AI18">
        <v>0.6</v>
      </c>
      <c r="AJ18" s="45">
        <f t="shared" si="11"/>
        <v>19.53</v>
      </c>
      <c r="AK18">
        <f t="shared" si="27"/>
        <v>8</v>
      </c>
      <c r="AL18">
        <f t="shared" si="12"/>
        <v>102.88623873828766</v>
      </c>
      <c r="AM18">
        <f t="shared" si="33"/>
        <v>42.161161179591168</v>
      </c>
      <c r="AN18">
        <f t="shared" si="13"/>
        <v>2060.4565649382503</v>
      </c>
      <c r="AQ18">
        <f t="shared" si="28"/>
        <v>11.200000000000001</v>
      </c>
      <c r="AR18">
        <f t="shared" si="14"/>
        <v>41.104000000000006</v>
      </c>
      <c r="AS18">
        <f t="shared" si="15"/>
        <v>24.52533233565395</v>
      </c>
      <c r="AT18">
        <f t="shared" si="16"/>
        <v>5.7634530988786778</v>
      </c>
      <c r="AU18">
        <f t="shared" si="17"/>
        <v>30.288785434532628</v>
      </c>
      <c r="AV18">
        <f t="shared" si="18"/>
        <v>71.392785434532641</v>
      </c>
      <c r="BA18">
        <f t="shared" si="19"/>
        <v>210.80580589795585</v>
      </c>
      <c r="BB18">
        <f t="shared" si="20"/>
        <v>14.191800000000001</v>
      </c>
      <c r="BC18">
        <f t="shared" si="21"/>
        <v>14.191800000000001</v>
      </c>
    </row>
    <row r="19" spans="1:55">
      <c r="A19" s="39">
        <v>15</v>
      </c>
      <c r="B19" s="41" t="s">
        <v>117</v>
      </c>
      <c r="C19">
        <v>0.56000000000000005</v>
      </c>
      <c r="D19" s="45">
        <f t="shared" si="0"/>
        <v>13.950000000000001</v>
      </c>
      <c r="E19">
        <f t="shared" si="22"/>
        <v>12.185071442047949</v>
      </c>
      <c r="F19">
        <f t="shared" si="1"/>
        <v>75.201003810433619</v>
      </c>
      <c r="G19">
        <f t="shared" si="29"/>
        <v>41.950355373693213</v>
      </c>
      <c r="H19">
        <f t="shared" si="2"/>
        <v>1498.4866962954202</v>
      </c>
      <c r="J19" s="40" t="s">
        <v>39</v>
      </c>
      <c r="K19">
        <v>0.82499999999999996</v>
      </c>
      <c r="L19" s="45">
        <f t="shared" si="3"/>
        <v>13.950000000000001</v>
      </c>
      <c r="M19">
        <f t="shared" si="23"/>
        <v>12.185071442047949</v>
      </c>
      <c r="N19">
        <f t="shared" si="4"/>
        <v>109.76178905594149</v>
      </c>
      <c r="O19">
        <f t="shared" si="30"/>
        <v>41.950355373693213</v>
      </c>
      <c r="P19">
        <f t="shared" si="5"/>
        <v>2187.1593772408205</v>
      </c>
      <c r="R19" s="41" t="s">
        <v>118</v>
      </c>
      <c r="S19">
        <v>0.65</v>
      </c>
      <c r="T19" s="45">
        <f t="shared" si="6"/>
        <v>10.741500000000002</v>
      </c>
      <c r="U19">
        <f t="shared" si="24"/>
        <v>10.444667882586211</v>
      </c>
      <c r="V19">
        <f t="shared" si="7"/>
        <v>44.926068275898736</v>
      </c>
      <c r="W19">
        <f t="shared" si="31"/>
        <v>41.950355373693213</v>
      </c>
      <c r="X19">
        <f t="shared" si="8"/>
        <v>895.21565161545936</v>
      </c>
      <c r="Z19" s="40" t="s">
        <v>44</v>
      </c>
      <c r="AA19">
        <v>0.215</v>
      </c>
      <c r="AB19" s="45">
        <f t="shared" si="9"/>
        <v>16.460999999999999</v>
      </c>
      <c r="AC19">
        <f t="shared" si="25"/>
        <v>13.402065253495985</v>
      </c>
      <c r="AD19">
        <f t="shared" si="10"/>
        <v>44.783407911984717</v>
      </c>
      <c r="AE19">
        <f t="shared" si="32"/>
        <v>41.950355373693213</v>
      </c>
      <c r="AF19">
        <f t="shared" si="26"/>
        <v>892.37294145759097</v>
      </c>
      <c r="AH19" s="41" t="s">
        <v>61</v>
      </c>
      <c r="AI19">
        <v>0.6</v>
      </c>
      <c r="AJ19" s="45">
        <f t="shared" si="11"/>
        <v>20.925000000000001</v>
      </c>
      <c r="AK19">
        <f t="shared" si="27"/>
        <v>8</v>
      </c>
      <c r="AL19">
        <f t="shared" si="12"/>
        <v>117.71871230942823</v>
      </c>
      <c r="AM19">
        <f t="shared" si="33"/>
        <v>41.950355373693213</v>
      </c>
      <c r="AN19">
        <f t="shared" si="13"/>
        <v>2345.7123623691823</v>
      </c>
      <c r="AQ19">
        <f t="shared" si="28"/>
        <v>12.000000000000002</v>
      </c>
      <c r="AR19">
        <f t="shared" si="14"/>
        <v>44.040000000000006</v>
      </c>
      <c r="AS19">
        <f t="shared" si="15"/>
        <v>28.695535596350997</v>
      </c>
      <c r="AT19">
        <f t="shared" si="16"/>
        <v>6.743450865142484</v>
      </c>
      <c r="AU19">
        <f t="shared" si="17"/>
        <v>35.438986461493478</v>
      </c>
      <c r="AV19">
        <f t="shared" si="18"/>
        <v>79.478986461493491</v>
      </c>
      <c r="BA19">
        <f t="shared" si="19"/>
        <v>209.75177686846607</v>
      </c>
      <c r="BB19">
        <f t="shared" si="20"/>
        <v>15.205500000000001</v>
      </c>
      <c r="BC19">
        <f t="shared" si="21"/>
        <v>15.205499999999999</v>
      </c>
    </row>
    <row r="20" spans="1:55">
      <c r="A20" s="39">
        <v>16</v>
      </c>
      <c r="B20" s="41" t="s">
        <v>117</v>
      </c>
      <c r="C20">
        <v>0.56000000000000005</v>
      </c>
      <c r="D20" s="45">
        <f t="shared" si="0"/>
        <v>14.88</v>
      </c>
      <c r="E20">
        <f t="shared" si="22"/>
        <v>12.648682912170818</v>
      </c>
      <c r="F20">
        <f t="shared" si="1"/>
        <v>88.463418619262356</v>
      </c>
      <c r="G20">
        <f t="shared" si="29"/>
        <v>41.740603596824748</v>
      </c>
      <c r="H20">
        <f t="shared" si="2"/>
        <v>1753.9453324681328</v>
      </c>
      <c r="J20" s="40" t="s">
        <v>39</v>
      </c>
      <c r="K20">
        <v>0.82499999999999996</v>
      </c>
      <c r="L20" s="45">
        <f t="shared" si="3"/>
        <v>14.88</v>
      </c>
      <c r="M20">
        <f t="shared" si="23"/>
        <v>12.648682912170818</v>
      </c>
      <c r="N20">
        <f t="shared" si="4"/>
        <v>129.11932822242116</v>
      </c>
      <c r="O20">
        <f t="shared" si="30"/>
        <v>41.740603596824748</v>
      </c>
      <c r="P20">
        <f t="shared" si="5"/>
        <v>2560.0213806096845</v>
      </c>
      <c r="R20" s="41" t="s">
        <v>118</v>
      </c>
      <c r="S20">
        <v>0.65</v>
      </c>
      <c r="T20" s="45">
        <f t="shared" si="6"/>
        <v>11.457600000000001</v>
      </c>
      <c r="U20">
        <f t="shared" si="24"/>
        <v>10.854504663307361</v>
      </c>
      <c r="V20">
        <f t="shared" si="7"/>
        <v>52.90840714391269</v>
      </c>
      <c r="W20">
        <f t="shared" si="31"/>
        <v>41.740603596824748</v>
      </c>
      <c r="X20">
        <f t="shared" si="8"/>
        <v>1049.0037035283983</v>
      </c>
      <c r="Z20" s="40" t="s">
        <v>44</v>
      </c>
      <c r="AA20">
        <v>0.215</v>
      </c>
      <c r="AB20" s="45">
        <f t="shared" si="9"/>
        <v>17.558399999999999</v>
      </c>
      <c r="AC20">
        <f t="shared" si="25"/>
        <v>13.901878578791214</v>
      </c>
      <c r="AD20">
        <f t="shared" si="10"/>
        <v>52.644054286198468</v>
      </c>
      <c r="AE20">
        <f t="shared" si="32"/>
        <v>41.740603596824748</v>
      </c>
      <c r="AF20">
        <f t="shared" si="26"/>
        <v>1043.7624358027181</v>
      </c>
      <c r="AH20" s="41" t="s">
        <v>61</v>
      </c>
      <c r="AI20">
        <v>0.6</v>
      </c>
      <c r="AJ20" s="45">
        <f t="shared" si="11"/>
        <v>22.32</v>
      </c>
      <c r="AK20">
        <f t="shared" si="27"/>
        <v>8</v>
      </c>
      <c r="AL20">
        <f t="shared" si="12"/>
        <v>133.52345802911802</v>
      </c>
      <c r="AM20">
        <f t="shared" si="33"/>
        <v>41.740603596824748</v>
      </c>
      <c r="AN20">
        <f t="shared" si="13"/>
        <v>2647.3411229235735</v>
      </c>
      <c r="AQ20">
        <f t="shared" si="28"/>
        <v>12.800000000000002</v>
      </c>
      <c r="AR20">
        <f t="shared" si="14"/>
        <v>46.976000000000006</v>
      </c>
      <c r="AS20">
        <f t="shared" si="15"/>
        <v>33.228451489470302</v>
      </c>
      <c r="AT20">
        <f t="shared" si="16"/>
        <v>7.808686100025521</v>
      </c>
      <c r="AU20">
        <f t="shared" si="17"/>
        <v>41.037137589495821</v>
      </c>
      <c r="AV20">
        <f t="shared" si="18"/>
        <v>88.013137589495827</v>
      </c>
      <c r="BA20">
        <f t="shared" si="19"/>
        <v>208.70301798412373</v>
      </c>
      <c r="BB20">
        <f t="shared" si="20"/>
        <v>16.219200000000001</v>
      </c>
      <c r="BC20">
        <f t="shared" si="21"/>
        <v>16.219200000000001</v>
      </c>
    </row>
    <row r="21" spans="1:55">
      <c r="A21" s="39">
        <v>17</v>
      </c>
      <c r="B21" s="41" t="s">
        <v>117</v>
      </c>
      <c r="C21">
        <v>0.56000000000000005</v>
      </c>
      <c r="D21" s="45">
        <f t="shared" si="0"/>
        <v>15.81</v>
      </c>
      <c r="E21">
        <f t="shared" si="22"/>
        <v>13.096854516159084</v>
      </c>
      <c r="F21">
        <f t="shared" si="1"/>
        <v>103.01882303813152</v>
      </c>
      <c r="G21">
        <f t="shared" si="29"/>
        <v>41.531900578840627</v>
      </c>
      <c r="H21">
        <f t="shared" si="2"/>
        <v>2032.3195701802056</v>
      </c>
      <c r="J21" s="40" t="s">
        <v>39</v>
      </c>
      <c r="K21">
        <v>0.82499999999999996</v>
      </c>
      <c r="L21" s="45">
        <f t="shared" si="3"/>
        <v>15.81</v>
      </c>
      <c r="M21">
        <f t="shared" si="23"/>
        <v>13.096854516159084</v>
      </c>
      <c r="N21">
        <f t="shared" si="4"/>
        <v>150.36408758062223</v>
      </c>
      <c r="O21">
        <f t="shared" si="30"/>
        <v>41.531900578840627</v>
      </c>
      <c r="P21">
        <f t="shared" si="5"/>
        <v>2966.3305096125814</v>
      </c>
      <c r="R21" s="41" t="s">
        <v>118</v>
      </c>
      <c r="S21">
        <v>0.65</v>
      </c>
      <c r="T21" s="45">
        <f t="shared" si="6"/>
        <v>12.1737</v>
      </c>
      <c r="U21">
        <f t="shared" si="24"/>
        <v>11.251220769998802</v>
      </c>
      <c r="V21">
        <f t="shared" si="7"/>
        <v>61.678564988161263</v>
      </c>
      <c r="W21">
        <f t="shared" si="31"/>
        <v>41.531900578840627</v>
      </c>
      <c r="X21">
        <f t="shared" si="8"/>
        <v>1216.7733137435901</v>
      </c>
      <c r="Z21" s="40" t="s">
        <v>44</v>
      </c>
      <c r="AA21">
        <v>0.215</v>
      </c>
      <c r="AB21" s="45">
        <f t="shared" si="9"/>
        <v>18.655799999999999</v>
      </c>
      <c r="AC21">
        <f t="shared" si="25"/>
        <v>14.384635352142718</v>
      </c>
      <c r="AD21">
        <f t="shared" si="10"/>
        <v>61.265075631338171</v>
      </c>
      <c r="AE21">
        <f t="shared" si="32"/>
        <v>41.531900578840627</v>
      </c>
      <c r="AF21">
        <f t="shared" si="26"/>
        <v>1208.6161392860472</v>
      </c>
      <c r="AH21" s="41" t="s">
        <v>61</v>
      </c>
      <c r="AI21">
        <v>0.6</v>
      </c>
      <c r="AJ21" s="45">
        <f t="shared" si="11"/>
        <v>23.715</v>
      </c>
      <c r="AK21">
        <f t="shared" si="27"/>
        <v>8</v>
      </c>
      <c r="AL21">
        <f t="shared" si="12"/>
        <v>150.29746641497596</v>
      </c>
      <c r="AM21">
        <f t="shared" si="33"/>
        <v>41.531900578840627</v>
      </c>
      <c r="AN21">
        <f t="shared" si="13"/>
        <v>2965.0162303892494</v>
      </c>
      <c r="AQ21">
        <f t="shared" si="28"/>
        <v>13.600000000000003</v>
      </c>
      <c r="AR21">
        <f t="shared" si="14"/>
        <v>49.912000000000013</v>
      </c>
      <c r="AS21">
        <f t="shared" si="15"/>
        <v>38.127834650986834</v>
      </c>
      <c r="AT21">
        <f t="shared" si="16"/>
        <v>8.9600411429819058</v>
      </c>
      <c r="AU21">
        <f t="shared" si="17"/>
        <v>47.087875793968742</v>
      </c>
      <c r="AV21">
        <f t="shared" si="18"/>
        <v>96.999875793968755</v>
      </c>
      <c r="BA21">
        <f t="shared" si="19"/>
        <v>207.65950289420314</v>
      </c>
      <c r="BB21">
        <f t="shared" si="20"/>
        <v>17.232900000000001</v>
      </c>
      <c r="BC21">
        <f t="shared" si="21"/>
        <v>17.232900000000001</v>
      </c>
    </row>
    <row r="22" spans="1:55">
      <c r="A22" s="39">
        <v>18</v>
      </c>
      <c r="B22" s="41" t="s">
        <v>117</v>
      </c>
      <c r="C22">
        <v>0.56000000000000005</v>
      </c>
      <c r="D22" s="45">
        <f t="shared" si="0"/>
        <v>16.740000000000002</v>
      </c>
      <c r="E22">
        <f t="shared" si="22"/>
        <v>13.53083848856452</v>
      </c>
      <c r="F22">
        <f t="shared" si="1"/>
        <v>118.90226869392178</v>
      </c>
      <c r="G22">
        <f t="shared" si="29"/>
        <v>41.324241075946425</v>
      </c>
      <c r="H22">
        <f t="shared" si="2"/>
        <v>2333.934357592676</v>
      </c>
      <c r="J22" s="40" t="s">
        <v>39</v>
      </c>
      <c r="K22">
        <v>0.82499999999999996</v>
      </c>
      <c r="L22" s="45">
        <f t="shared" si="3"/>
        <v>16.740000000000002</v>
      </c>
      <c r="M22">
        <f t="shared" si="23"/>
        <v>13.53083848856452</v>
      </c>
      <c r="N22">
        <f t="shared" si="4"/>
        <v>173.54722774118568</v>
      </c>
      <c r="O22">
        <f t="shared" si="30"/>
        <v>41.324241075946425</v>
      </c>
      <c r="P22">
        <f t="shared" si="5"/>
        <v>3406.5610516884935</v>
      </c>
      <c r="R22" s="41" t="s">
        <v>118</v>
      </c>
      <c r="S22">
        <v>0.65</v>
      </c>
      <c r="T22" s="45">
        <f t="shared" si="6"/>
        <v>12.889800000000001</v>
      </c>
      <c r="U22">
        <f t="shared" si="24"/>
        <v>11.635861357976843</v>
      </c>
      <c r="V22">
        <f t="shared" si="7"/>
        <v>71.258785214009961</v>
      </c>
      <c r="W22">
        <f t="shared" si="31"/>
        <v>41.324241075946425</v>
      </c>
      <c r="X22">
        <f t="shared" si="8"/>
        <v>1398.7397290073461</v>
      </c>
      <c r="Z22" s="40" t="s">
        <v>44</v>
      </c>
      <c r="AA22">
        <v>0.215</v>
      </c>
      <c r="AB22" s="45">
        <f t="shared" si="9"/>
        <v>19.7532</v>
      </c>
      <c r="AC22">
        <f t="shared" si="25"/>
        <v>14.851734433620361</v>
      </c>
      <c r="AD22">
        <f t="shared" si="10"/>
        <v>70.666543234478269</v>
      </c>
      <c r="AE22">
        <f t="shared" si="32"/>
        <v>41.324241075946425</v>
      </c>
      <c r="AF22">
        <f t="shared" si="26"/>
        <v>1387.1146025970509</v>
      </c>
      <c r="AH22" s="41" t="s">
        <v>61</v>
      </c>
      <c r="AI22">
        <v>0.6</v>
      </c>
      <c r="AJ22" s="45">
        <f t="shared" si="11"/>
        <v>25.110000000000003</v>
      </c>
      <c r="AK22">
        <f t="shared" si="27"/>
        <v>8</v>
      </c>
      <c r="AL22">
        <f t="shared" si="12"/>
        <v>168.03791922029961</v>
      </c>
      <c r="AM22">
        <f t="shared" si="33"/>
        <v>41.324241075946425</v>
      </c>
      <c r="AN22">
        <f t="shared" si="13"/>
        <v>3298.4187547860342</v>
      </c>
      <c r="AQ22">
        <f t="shared" si="28"/>
        <v>14.400000000000004</v>
      </c>
      <c r="AR22">
        <f t="shared" si="14"/>
        <v>52.848000000000013</v>
      </c>
      <c r="AS22">
        <f t="shared" si="15"/>
        <v>43.396900379114768</v>
      </c>
      <c r="AT22">
        <f t="shared" si="16"/>
        <v>10.19827158909197</v>
      </c>
      <c r="AU22">
        <f t="shared" si="17"/>
        <v>53.595171968206742</v>
      </c>
      <c r="AV22">
        <f t="shared" si="18"/>
        <v>106.44317196820676</v>
      </c>
      <c r="BA22">
        <f t="shared" si="19"/>
        <v>206.62120537973212</v>
      </c>
      <c r="BB22">
        <f t="shared" si="20"/>
        <v>18.246600000000001</v>
      </c>
      <c r="BC22">
        <f t="shared" si="21"/>
        <v>18.246600000000001</v>
      </c>
    </row>
    <row r="23" spans="1:55">
      <c r="A23" s="39">
        <v>19</v>
      </c>
      <c r="B23" s="41" t="s">
        <v>117</v>
      </c>
      <c r="C23">
        <v>0.56000000000000005</v>
      </c>
      <c r="D23" s="45">
        <f t="shared" si="0"/>
        <v>17.670000000000002</v>
      </c>
      <c r="E23">
        <f t="shared" si="22"/>
        <v>13.951726501738136</v>
      </c>
      <c r="F23">
        <f t="shared" si="1"/>
        <v>136.14735435015888</v>
      </c>
      <c r="G23">
        <f t="shared" si="29"/>
        <v>41.117619870566692</v>
      </c>
      <c r="H23">
        <f t="shared" si="2"/>
        <v>2659.0762022127592</v>
      </c>
      <c r="J23" s="40" t="s">
        <v>39</v>
      </c>
      <c r="K23">
        <v>0.82499999999999996</v>
      </c>
      <c r="L23" s="45">
        <f t="shared" si="3"/>
        <v>17.670000000000002</v>
      </c>
      <c r="M23">
        <f t="shared" si="23"/>
        <v>13.951726501738136</v>
      </c>
      <c r="N23">
        <f t="shared" si="4"/>
        <v>198.71778874623595</v>
      </c>
      <c r="O23">
        <f t="shared" si="30"/>
        <v>41.117619870566692</v>
      </c>
      <c r="P23">
        <f t="shared" si="5"/>
        <v>3881.1311871139696</v>
      </c>
      <c r="R23" s="41" t="s">
        <v>118</v>
      </c>
      <c r="S23">
        <v>0.65</v>
      </c>
      <c r="T23" s="45">
        <f t="shared" si="6"/>
        <v>13.605900000000002</v>
      </c>
      <c r="U23">
        <f t="shared" si="24"/>
        <v>12.00933907231587</v>
      </c>
      <c r="V23">
        <f t="shared" si="7"/>
        <v>81.670419962599112</v>
      </c>
      <c r="W23">
        <f t="shared" si="31"/>
        <v>41.117619870566692</v>
      </c>
      <c r="X23">
        <f t="shared" si="8"/>
        <v>1595.0943092785535</v>
      </c>
      <c r="Z23" s="40" t="s">
        <v>44</v>
      </c>
      <c r="AA23">
        <v>0.215</v>
      </c>
      <c r="AB23" s="45">
        <f t="shared" si="9"/>
        <v>20.8506</v>
      </c>
      <c r="AC23">
        <f t="shared" si="25"/>
        <v>15.304394066852215</v>
      </c>
      <c r="AD23">
        <f t="shared" si="10"/>
        <v>80.867678586095607</v>
      </c>
      <c r="AE23">
        <f t="shared" si="32"/>
        <v>41.117619870566692</v>
      </c>
      <c r="AF23">
        <f t="shared" si="26"/>
        <v>1579.4160722611666</v>
      </c>
      <c r="AH23" s="41" t="s">
        <v>61</v>
      </c>
      <c r="AI23">
        <v>0.6</v>
      </c>
      <c r="AJ23" s="45">
        <f t="shared" si="11"/>
        <v>26.505000000000003</v>
      </c>
      <c r="AK23">
        <f t="shared" si="27"/>
        <v>8</v>
      </c>
      <c r="AL23">
        <f t="shared" si="12"/>
        <v>186.74216702627965</v>
      </c>
      <c r="AM23">
        <f t="shared" si="33"/>
        <v>41.117619870566692</v>
      </c>
      <c r="AN23">
        <f t="shared" si="13"/>
        <v>3647.236882856409</v>
      </c>
      <c r="AQ23">
        <f t="shared" si="28"/>
        <v>15.200000000000005</v>
      </c>
      <c r="AR23">
        <f t="shared" si="14"/>
        <v>55.784000000000013</v>
      </c>
      <c r="AS23">
        <f t="shared" si="15"/>
        <v>49.038373579162887</v>
      </c>
      <c r="AT23">
        <f t="shared" si="16"/>
        <v>11.524017791103278</v>
      </c>
      <c r="AU23">
        <f t="shared" si="17"/>
        <v>60.562391370266162</v>
      </c>
      <c r="AV23">
        <f t="shared" si="18"/>
        <v>116.34639137026618</v>
      </c>
      <c r="BA23">
        <f t="shared" si="19"/>
        <v>205.58809935283347</v>
      </c>
      <c r="BB23">
        <f t="shared" si="20"/>
        <v>19.260300000000001</v>
      </c>
      <c r="BC23">
        <f t="shared" si="21"/>
        <v>19.260300000000001</v>
      </c>
    </row>
    <row r="24" spans="1:55">
      <c r="A24" s="39">
        <v>20</v>
      </c>
      <c r="B24" s="41" t="s">
        <v>117</v>
      </c>
      <c r="C24">
        <v>0.56000000000000005</v>
      </c>
      <c r="D24" s="45">
        <f t="shared" si="0"/>
        <v>18.600000000000001</v>
      </c>
      <c r="E24">
        <f t="shared" si="22"/>
        <v>14.360477254040015</v>
      </c>
      <c r="F24">
        <f t="shared" si="1"/>
        <v>154.78635244074366</v>
      </c>
      <c r="G24">
        <f t="shared" si="29"/>
        <v>40.912031771213861</v>
      </c>
      <c r="H24">
        <f t="shared" si="2"/>
        <v>3007.9964801828551</v>
      </c>
      <c r="J24" s="40" t="s">
        <v>39</v>
      </c>
      <c r="K24">
        <v>0.82499999999999996</v>
      </c>
      <c r="L24" s="45">
        <f t="shared" si="3"/>
        <v>18.600000000000001</v>
      </c>
      <c r="M24">
        <f t="shared" si="23"/>
        <v>14.360477254040015</v>
      </c>
      <c r="N24">
        <f t="shared" si="4"/>
        <v>225.92287475532757</v>
      </c>
      <c r="O24">
        <f t="shared" si="30"/>
        <v>40.912031771213861</v>
      </c>
      <c r="P24">
        <f t="shared" si="5"/>
        <v>4390.4078191711178</v>
      </c>
      <c r="R24" s="41" t="s">
        <v>118</v>
      </c>
      <c r="S24">
        <v>0.65</v>
      </c>
      <c r="T24" s="45">
        <f t="shared" si="6"/>
        <v>14.322000000000001</v>
      </c>
      <c r="U24">
        <f t="shared" si="24"/>
        <v>12.372456632062757</v>
      </c>
      <c r="V24">
        <f t="shared" si="7"/>
        <v>92.934006513589011</v>
      </c>
      <c r="W24">
        <f t="shared" si="31"/>
        <v>40.912031771213861</v>
      </c>
      <c r="X24">
        <f t="shared" si="8"/>
        <v>1806.0065378773209</v>
      </c>
      <c r="Z24" s="40" t="s">
        <v>44</v>
      </c>
      <c r="AA24">
        <v>0.215</v>
      </c>
      <c r="AB24" s="45">
        <f t="shared" si="9"/>
        <v>21.948</v>
      </c>
      <c r="AC24">
        <f t="shared" si="25"/>
        <v>15.743683069015908</v>
      </c>
      <c r="AD24">
        <f t="shared" si="10"/>
        <v>91.886928131355191</v>
      </c>
      <c r="AE24">
        <f t="shared" si="32"/>
        <v>40.912031771213861</v>
      </c>
      <c r="AF24">
        <f t="shared" si="26"/>
        <v>1785.6584384578928</v>
      </c>
      <c r="AH24" s="41" t="s">
        <v>61</v>
      </c>
      <c r="AI24">
        <v>0.6</v>
      </c>
      <c r="AJ24" s="45">
        <f t="shared" si="11"/>
        <v>27.900000000000002</v>
      </c>
      <c r="AK24">
        <f t="shared" si="27"/>
        <v>8</v>
      </c>
      <c r="AL24">
        <f t="shared" si="12"/>
        <v>206.40771053304442</v>
      </c>
      <c r="AM24">
        <f t="shared" si="33"/>
        <v>40.912031771213861</v>
      </c>
      <c r="AN24">
        <f t="shared" si="13"/>
        <v>4011.1654352969281</v>
      </c>
      <c r="AQ24">
        <f t="shared" si="28"/>
        <v>16.000000000000004</v>
      </c>
      <c r="AR24">
        <f t="shared" si="14"/>
        <v>58.720000000000013</v>
      </c>
      <c r="AS24">
        <f t="shared" si="15"/>
        <v>55.054531389319038</v>
      </c>
      <c r="AT24">
        <f t="shared" si="16"/>
        <v>12.937814876489973</v>
      </c>
      <c r="AU24">
        <f t="shared" si="17"/>
        <v>67.992346265809005</v>
      </c>
      <c r="AV24">
        <f t="shared" si="18"/>
        <v>126.71234626580902</v>
      </c>
      <c r="BA24">
        <f t="shared" si="19"/>
        <v>204.56015885606931</v>
      </c>
      <c r="BB24">
        <f t="shared" si="20"/>
        <v>20.274000000000001</v>
      </c>
      <c r="BC24">
        <f t="shared" si="21"/>
        <v>20.274000000000001</v>
      </c>
    </row>
    <row r="25" spans="1:55">
      <c r="A25" s="39">
        <v>21</v>
      </c>
      <c r="B25" s="41" t="s">
        <v>117</v>
      </c>
      <c r="C25">
        <v>0.56000000000000005</v>
      </c>
      <c r="D25" s="45">
        <f t="shared" si="0"/>
        <v>19.53</v>
      </c>
      <c r="E25">
        <f t="shared" si="22"/>
        <v>14.757938216721252</v>
      </c>
      <c r="F25">
        <f t="shared" si="1"/>
        <v>174.85031894122721</v>
      </c>
      <c r="G25">
        <f t="shared" si="29"/>
        <v>40.707471612357793</v>
      </c>
      <c r="H25">
        <f t="shared" si="2"/>
        <v>3380.9143374880637</v>
      </c>
      <c r="J25" s="40" t="s">
        <v>39</v>
      </c>
      <c r="K25">
        <v>0.82499999999999996</v>
      </c>
      <c r="L25" s="45">
        <f t="shared" si="3"/>
        <v>19.53</v>
      </c>
      <c r="M25">
        <f t="shared" si="23"/>
        <v>14.757938216721252</v>
      </c>
      <c r="N25">
        <f t="shared" si="4"/>
        <v>255.20781441122642</v>
      </c>
      <c r="O25">
        <f t="shared" si="30"/>
        <v>40.707471612357793</v>
      </c>
      <c r="P25">
        <f t="shared" si="5"/>
        <v>4934.7108086885155</v>
      </c>
      <c r="R25" s="41" t="s">
        <v>118</v>
      </c>
      <c r="S25">
        <v>0.65</v>
      </c>
      <c r="T25" s="45">
        <f t="shared" si="6"/>
        <v>15.038100000000002</v>
      </c>
      <c r="U25">
        <f t="shared" si="24"/>
        <v>12.725924662743553</v>
      </c>
      <c r="V25">
        <f t="shared" si="7"/>
        <v>105.06933372621002</v>
      </c>
      <c r="W25">
        <f t="shared" si="31"/>
        <v>40.707471612357793</v>
      </c>
      <c r="X25">
        <f t="shared" si="8"/>
        <v>2031.6257869947947</v>
      </c>
      <c r="Z25" s="40" t="s">
        <v>44</v>
      </c>
      <c r="AA25">
        <v>0.215</v>
      </c>
      <c r="AB25" s="45">
        <f t="shared" si="9"/>
        <v>23.045399999999997</v>
      </c>
      <c r="AC25">
        <f t="shared" si="25"/>
        <v>16.170545391106437</v>
      </c>
      <c r="AD25">
        <f t="shared" si="10"/>
        <v>103.74202811627814</v>
      </c>
      <c r="AE25">
        <f t="shared" si="32"/>
        <v>40.707471612357793</v>
      </c>
      <c r="AF25">
        <f t="shared" si="26"/>
        <v>2005.9609406621125</v>
      </c>
      <c r="AH25" s="41" t="s">
        <v>61</v>
      </c>
      <c r="AI25">
        <v>0.6</v>
      </c>
      <c r="AJ25" s="45">
        <f t="shared" si="11"/>
        <v>29.295000000000002</v>
      </c>
      <c r="AK25">
        <f t="shared" si="27"/>
        <v>8</v>
      </c>
      <c r="AL25">
        <f t="shared" si="12"/>
        <v>227.03218477981662</v>
      </c>
      <c r="AM25">
        <f t="shared" si="33"/>
        <v>40.707471612357793</v>
      </c>
      <c r="AN25">
        <f t="shared" si="13"/>
        <v>4389.9054530825779</v>
      </c>
      <c r="AQ25">
        <f t="shared" si="28"/>
        <v>16.800000000000004</v>
      </c>
      <c r="AR25">
        <f t="shared" si="14"/>
        <v>61.656000000000013</v>
      </c>
      <c r="AS25">
        <f t="shared" si="15"/>
        <v>61.447240589781956</v>
      </c>
      <c r="AT25">
        <f t="shared" si="16"/>
        <v>14.440101538598759</v>
      </c>
      <c r="AU25">
        <f t="shared" si="17"/>
        <v>75.887342128380709</v>
      </c>
      <c r="AV25">
        <f t="shared" si="18"/>
        <v>137.54334212838071</v>
      </c>
      <c r="BA25">
        <f t="shared" si="19"/>
        <v>203.53735806178895</v>
      </c>
      <c r="BB25">
        <f t="shared" si="20"/>
        <v>21.287700000000001</v>
      </c>
      <c r="BC25">
        <f t="shared" si="21"/>
        <v>21.287699999999997</v>
      </c>
    </row>
    <row r="26" spans="1:55">
      <c r="A26" s="39">
        <v>22</v>
      </c>
      <c r="B26" s="41" t="s">
        <v>117</v>
      </c>
      <c r="C26">
        <v>0.56000000000000005</v>
      </c>
      <c r="D26" s="45">
        <f t="shared" si="0"/>
        <v>20.46</v>
      </c>
      <c r="E26">
        <f t="shared" si="22"/>
        <v>15.144862989408429</v>
      </c>
      <c r="F26">
        <f t="shared" si="1"/>
        <v>196.36918946136342</v>
      </c>
      <c r="G26">
        <f t="shared" si="29"/>
        <v>40.503934254296006</v>
      </c>
      <c r="H26">
        <f t="shared" si="2"/>
        <v>3778.019251268418</v>
      </c>
      <c r="J26" s="40" t="s">
        <v>39</v>
      </c>
      <c r="K26">
        <v>0.82499999999999996</v>
      </c>
      <c r="L26" s="45">
        <f t="shared" si="3"/>
        <v>20.46</v>
      </c>
      <c r="M26">
        <f t="shared" si="23"/>
        <v>15</v>
      </c>
      <c r="N26">
        <f t="shared" si="4"/>
        <v>283.94025981282613</v>
      </c>
      <c r="O26">
        <f t="shared" si="30"/>
        <v>40.503934254296006</v>
      </c>
      <c r="P26">
        <f t="shared" si="5"/>
        <v>5462.8313674130568</v>
      </c>
      <c r="R26" s="41" t="s">
        <v>118</v>
      </c>
      <c r="S26">
        <v>0.65</v>
      </c>
      <c r="T26" s="45">
        <f t="shared" si="6"/>
        <v>15.754200000000003</v>
      </c>
      <c r="U26">
        <f t="shared" si="24"/>
        <v>13.070375950563895</v>
      </c>
      <c r="V26">
        <f t="shared" si="7"/>
        <v>118.09550023045661</v>
      </c>
      <c r="W26">
        <f t="shared" si="31"/>
        <v>40.503934254296006</v>
      </c>
      <c r="X26">
        <f t="shared" si="8"/>
        <v>2272.0828791047411</v>
      </c>
      <c r="Z26" s="40" t="s">
        <v>44</v>
      </c>
      <c r="AA26">
        <v>0.215</v>
      </c>
      <c r="AB26" s="45">
        <f t="shared" si="9"/>
        <v>24.142799999999998</v>
      </c>
      <c r="AC26">
        <f t="shared" si="25"/>
        <v>16.585819699337446</v>
      </c>
      <c r="AD26">
        <f t="shared" si="10"/>
        <v>116.4500612507253</v>
      </c>
      <c r="AE26">
        <f t="shared" si="32"/>
        <v>40.503934254296006</v>
      </c>
      <c r="AF26">
        <f t="shared" si="26"/>
        <v>2240.4256717838571</v>
      </c>
      <c r="AH26" s="41" t="s">
        <v>61</v>
      </c>
      <c r="AI26">
        <v>0.6</v>
      </c>
      <c r="AJ26" s="45">
        <f t="shared" si="11"/>
        <v>30.69</v>
      </c>
      <c r="AK26">
        <f t="shared" si="27"/>
        <v>8</v>
      </c>
      <c r="AL26">
        <f t="shared" si="12"/>
        <v>248.61334571455106</v>
      </c>
      <c r="AM26">
        <f t="shared" si="33"/>
        <v>40.503934254296006</v>
      </c>
      <c r="AN26">
        <f t="shared" si="13"/>
        <v>4783.1638395423006</v>
      </c>
      <c r="AQ26">
        <f t="shared" si="28"/>
        <v>17.600000000000005</v>
      </c>
      <c r="AR26">
        <f t="shared" si="14"/>
        <v>64.592000000000013</v>
      </c>
      <c r="AS26">
        <f t="shared" si="15"/>
        <v>68.0290394434424</v>
      </c>
      <c r="AT26">
        <f t="shared" si="16"/>
        <v>15.986824269208963</v>
      </c>
      <c r="AU26">
        <f t="shared" si="17"/>
        <v>84.015863712651367</v>
      </c>
      <c r="AV26">
        <f t="shared" si="18"/>
        <v>148.60786371265138</v>
      </c>
      <c r="BA26">
        <f t="shared" si="19"/>
        <v>202.51967127148004</v>
      </c>
      <c r="BB26">
        <f t="shared" si="20"/>
        <v>22.301400000000001</v>
      </c>
      <c r="BC26">
        <f t="shared" si="21"/>
        <v>22.301400000000001</v>
      </c>
    </row>
    <row r="27" spans="1:55">
      <c r="A27" s="39">
        <v>23</v>
      </c>
      <c r="B27" s="41" t="s">
        <v>117</v>
      </c>
      <c r="C27">
        <v>0.56000000000000005</v>
      </c>
      <c r="D27" s="45">
        <f t="shared" si="0"/>
        <v>21.39</v>
      </c>
      <c r="E27">
        <f t="shared" si="22"/>
        <v>15.521925305780961</v>
      </c>
      <c r="F27">
        <f t="shared" si="1"/>
        <v>219.37186383387291</v>
      </c>
      <c r="G27">
        <f t="shared" si="29"/>
        <v>40.301414583024524</v>
      </c>
      <c r="H27">
        <f t="shared" si="2"/>
        <v>4199.4733053043647</v>
      </c>
      <c r="J27" s="40" t="s">
        <v>39</v>
      </c>
      <c r="K27">
        <v>0.82499999999999996</v>
      </c>
      <c r="L27" s="45">
        <f t="shared" si="3"/>
        <v>21.39</v>
      </c>
      <c r="M27">
        <f t="shared" si="23"/>
        <v>15</v>
      </c>
      <c r="N27">
        <f t="shared" si="4"/>
        <v>309.67820309664239</v>
      </c>
      <c r="O27">
        <f t="shared" si="30"/>
        <v>40.301414583024524</v>
      </c>
      <c r="P27">
        <f t="shared" si="5"/>
        <v>5928.2230839038302</v>
      </c>
      <c r="R27" s="41" t="s">
        <v>118</v>
      </c>
      <c r="S27">
        <v>0.65</v>
      </c>
      <c r="T27" s="45">
        <f t="shared" si="6"/>
        <v>16.470300000000002</v>
      </c>
      <c r="U27">
        <f t="shared" si="24"/>
        <v>13.406376962674866</v>
      </c>
      <c r="V27">
        <f t="shared" si="7"/>
        <v>132.03096572084226</v>
      </c>
      <c r="W27">
        <f t="shared" si="31"/>
        <v>40.301414583024524</v>
      </c>
      <c r="X27">
        <f t="shared" si="8"/>
        <v>2527.4914764735627</v>
      </c>
      <c r="Z27" s="40" t="s">
        <v>44</v>
      </c>
      <c r="AA27">
        <v>0.215</v>
      </c>
      <c r="AB27" s="45">
        <f t="shared" si="9"/>
        <v>25.240199999999998</v>
      </c>
      <c r="AC27">
        <f t="shared" si="25"/>
        <v>16.990255162363553</v>
      </c>
      <c r="AD27">
        <f t="shared" si="10"/>
        <v>130.02750654534339</v>
      </c>
      <c r="AE27">
        <f t="shared" si="32"/>
        <v>40.301414583024524</v>
      </c>
      <c r="AF27">
        <f t="shared" si="26"/>
        <v>2489.1389130283887</v>
      </c>
      <c r="AH27" s="41" t="s">
        <v>61</v>
      </c>
      <c r="AI27">
        <v>0.6</v>
      </c>
      <c r="AJ27" s="45">
        <f t="shared" si="11"/>
        <v>32.085000000000001</v>
      </c>
      <c r="AK27">
        <f t="shared" si="27"/>
        <v>8</v>
      </c>
      <c r="AL27">
        <f t="shared" si="12"/>
        <v>271.14905866987186</v>
      </c>
      <c r="AM27">
        <f t="shared" si="33"/>
        <v>40.301414583024524</v>
      </c>
      <c r="AN27">
        <f t="shared" si="13"/>
        <v>5190.6530479443891</v>
      </c>
      <c r="AQ27">
        <f t="shared" si="28"/>
        <v>18.400000000000006</v>
      </c>
      <c r="AR27">
        <f t="shared" si="14"/>
        <v>67.52800000000002</v>
      </c>
      <c r="AS27">
        <f t="shared" si="15"/>
        <v>74.629375963822156</v>
      </c>
      <c r="AT27">
        <f t="shared" si="16"/>
        <v>17.537903351498205</v>
      </c>
      <c r="AU27">
        <f t="shared" si="17"/>
        <v>92.167279315320357</v>
      </c>
      <c r="AV27">
        <f t="shared" si="18"/>
        <v>159.69527931532036</v>
      </c>
      <c r="BA27">
        <f t="shared" si="19"/>
        <v>201.50707291512262</v>
      </c>
      <c r="BB27">
        <f t="shared" si="20"/>
        <v>23.315100000000001</v>
      </c>
      <c r="BC27">
        <f t="shared" si="21"/>
        <v>23.315100000000001</v>
      </c>
    </row>
    <row r="28" spans="1:55">
      <c r="A28" s="39">
        <v>24</v>
      </c>
      <c r="B28" s="41" t="s">
        <v>117</v>
      </c>
      <c r="C28">
        <v>0.56000000000000005</v>
      </c>
      <c r="D28" s="45">
        <f t="shared" si="0"/>
        <v>22.32</v>
      </c>
      <c r="E28">
        <f t="shared" si="22"/>
        <v>15.889730450213174</v>
      </c>
      <c r="F28">
        <f t="shared" si="1"/>
        <v>243.8862810153461</v>
      </c>
      <c r="G28">
        <f t="shared" si="29"/>
        <v>40.099907510109404</v>
      </c>
      <c r="H28">
        <f t="shared" si="2"/>
        <v>4645.413223057466</v>
      </c>
      <c r="J28" s="40" t="s">
        <v>39</v>
      </c>
      <c r="K28">
        <v>0.82499999999999996</v>
      </c>
      <c r="L28" s="45">
        <f t="shared" si="3"/>
        <v>22.32</v>
      </c>
      <c r="M28">
        <f t="shared" si="23"/>
        <v>15</v>
      </c>
      <c r="N28">
        <f t="shared" si="4"/>
        <v>336.50401179750594</v>
      </c>
      <c r="O28">
        <f t="shared" si="30"/>
        <v>40.099907510109404</v>
      </c>
      <c r="P28">
        <f t="shared" si="5"/>
        <v>6409.545381183857</v>
      </c>
      <c r="R28" s="41" t="s">
        <v>118</v>
      </c>
      <c r="S28">
        <v>0.65</v>
      </c>
      <c r="T28" s="45">
        <f t="shared" si="6"/>
        <v>17.186400000000003</v>
      </c>
      <c r="U28">
        <f t="shared" si="24"/>
        <v>13.734437251215519</v>
      </c>
      <c r="V28">
        <f t="shared" si="7"/>
        <v>146.89359643376005</v>
      </c>
      <c r="W28">
        <f t="shared" si="31"/>
        <v>40.099907510109404</v>
      </c>
      <c r="X28">
        <f t="shared" si="8"/>
        <v>2797.9493246400293</v>
      </c>
      <c r="Z28" s="40" t="s">
        <v>44</v>
      </c>
      <c r="AA28">
        <v>0.215</v>
      </c>
      <c r="AB28" s="45">
        <f t="shared" si="9"/>
        <v>26.337600000000002</v>
      </c>
      <c r="AC28">
        <f t="shared" si="25"/>
        <v>17.384524308757829</v>
      </c>
      <c r="AD28">
        <f t="shared" si="10"/>
        <v>144.49028340484961</v>
      </c>
      <c r="AE28">
        <f t="shared" si="32"/>
        <v>40.099907510109404</v>
      </c>
      <c r="AF28">
        <f t="shared" si="26"/>
        <v>2752.1723253058831</v>
      </c>
      <c r="AH28" s="41" t="s">
        <v>61</v>
      </c>
      <c r="AI28">
        <v>0.6</v>
      </c>
      <c r="AJ28" s="45">
        <f t="shared" si="11"/>
        <v>33.480000000000004</v>
      </c>
      <c r="AK28">
        <f t="shared" si="27"/>
        <v>8</v>
      </c>
      <c r="AL28">
        <f t="shared" si="12"/>
        <v>294.63728840177606</v>
      </c>
      <c r="AM28">
        <f t="shared" si="33"/>
        <v>40.099907510109404</v>
      </c>
      <c r="AN28">
        <f t="shared" si="13"/>
        <v>5612.090806621809</v>
      </c>
      <c r="AQ28">
        <f t="shared" si="28"/>
        <v>19.200000000000006</v>
      </c>
      <c r="AR28">
        <f t="shared" si="14"/>
        <v>70.464000000000027</v>
      </c>
      <c r="AS28">
        <f t="shared" si="15"/>
        <v>81.537017793169184</v>
      </c>
      <c r="AT28">
        <f t="shared" si="16"/>
        <v>19.161199181394757</v>
      </c>
      <c r="AU28">
        <f t="shared" si="17"/>
        <v>100.69821697456393</v>
      </c>
      <c r="AV28">
        <f t="shared" si="18"/>
        <v>171.16221697456396</v>
      </c>
      <c r="BA28">
        <f t="shared" si="19"/>
        <v>200.49953755054702</v>
      </c>
      <c r="BB28">
        <f t="shared" si="20"/>
        <v>24.328800000000005</v>
      </c>
      <c r="BC28">
        <f t="shared" si="21"/>
        <v>24.328800000000001</v>
      </c>
    </row>
    <row r="29" spans="1:55">
      <c r="A29" s="39">
        <v>25</v>
      </c>
      <c r="B29" s="41" t="s">
        <v>117</v>
      </c>
      <c r="C29">
        <v>0.56000000000000005</v>
      </c>
      <c r="D29" s="45">
        <f t="shared" si="0"/>
        <v>23.25</v>
      </c>
      <c r="E29">
        <f t="shared" si="22"/>
        <v>16.248824649431985</v>
      </c>
      <c r="F29">
        <f t="shared" si="1"/>
        <v>269.93948576434269</v>
      </c>
      <c r="G29">
        <f t="shared" si="29"/>
        <v>39.899407972558855</v>
      </c>
      <c r="H29">
        <f t="shared" si="2"/>
        <v>5115.9521934467693</v>
      </c>
      <c r="J29" s="40" t="s">
        <v>39</v>
      </c>
      <c r="K29">
        <v>0.82499999999999996</v>
      </c>
      <c r="L29" s="45">
        <f t="shared" si="3"/>
        <v>23.25</v>
      </c>
      <c r="M29">
        <f t="shared" si="23"/>
        <v>15</v>
      </c>
      <c r="N29">
        <f t="shared" si="4"/>
        <v>364.415465122976</v>
      </c>
      <c r="O29">
        <f t="shared" si="30"/>
        <v>39.899407972558855</v>
      </c>
      <c r="P29">
        <f t="shared" si="5"/>
        <v>6906.48162436442</v>
      </c>
      <c r="R29" s="41" t="s">
        <v>118</v>
      </c>
      <c r="S29">
        <v>0.65</v>
      </c>
      <c r="T29" s="45">
        <f t="shared" si="6"/>
        <v>17.9025</v>
      </c>
      <c r="U29">
        <f t="shared" si="24"/>
        <v>14.055017199808225</v>
      </c>
      <c r="V29">
        <f t="shared" si="7"/>
        <v>162.70070568176664</v>
      </c>
      <c r="W29">
        <f t="shared" si="31"/>
        <v>39.899407972558855</v>
      </c>
      <c r="X29">
        <f t="shared" si="8"/>
        <v>3083.5393708745146</v>
      </c>
      <c r="Z29" s="40" t="s">
        <v>44</v>
      </c>
      <c r="AA29">
        <v>0.215</v>
      </c>
      <c r="AB29" s="45">
        <f t="shared" si="9"/>
        <v>27.435000000000002</v>
      </c>
      <c r="AC29">
        <f t="shared" si="25"/>
        <v>17.769233595054022</v>
      </c>
      <c r="AD29">
        <f t="shared" si="10"/>
        <v>159.85379085016601</v>
      </c>
      <c r="AE29">
        <f t="shared" si="32"/>
        <v>39.899407972558855</v>
      </c>
      <c r="AF29">
        <f t="shared" si="26"/>
        <v>3029.5840181181625</v>
      </c>
      <c r="AH29" s="41" t="s">
        <v>61</v>
      </c>
      <c r="AI29">
        <v>0.6</v>
      </c>
      <c r="AJ29" s="45">
        <f t="shared" si="11"/>
        <v>34.875</v>
      </c>
      <c r="AK29">
        <f t="shared" si="27"/>
        <v>8</v>
      </c>
      <c r="AL29">
        <f t="shared" si="12"/>
        <v>319.0760904215212</v>
      </c>
      <c r="AM29">
        <f t="shared" si="33"/>
        <v>39.899407972558855</v>
      </c>
      <c r="AN29">
        <f t="shared" si="13"/>
        <v>6047.199875358242</v>
      </c>
      <c r="AQ29">
        <f t="shared" si="28"/>
        <v>20.000000000000007</v>
      </c>
      <c r="AR29">
        <f t="shared" si="14"/>
        <v>73.40000000000002</v>
      </c>
      <c r="AS29">
        <f t="shared" si="15"/>
        <v>88.75071849153494</v>
      </c>
      <c r="AT29">
        <f t="shared" si="16"/>
        <v>20.85641884551071</v>
      </c>
      <c r="AU29">
        <f t="shared" si="17"/>
        <v>109.60713733704566</v>
      </c>
      <c r="AV29">
        <f t="shared" si="18"/>
        <v>183.00713733704566</v>
      </c>
      <c r="BA29">
        <f t="shared" si="19"/>
        <v>199.49703986279428</v>
      </c>
      <c r="BB29">
        <f t="shared" si="20"/>
        <v>25.342500000000001</v>
      </c>
      <c r="BC29">
        <f t="shared" si="21"/>
        <v>25.342499999999998</v>
      </c>
    </row>
    <row r="30" spans="1:55">
      <c r="A30" s="39">
        <v>26</v>
      </c>
      <c r="B30" s="41" t="s">
        <v>117</v>
      </c>
      <c r="C30">
        <v>0.56000000000000005</v>
      </c>
      <c r="D30" s="45">
        <f t="shared" si="0"/>
        <v>24.18</v>
      </c>
      <c r="E30">
        <f t="shared" si="22"/>
        <v>16.599702863113926</v>
      </c>
      <c r="F30">
        <f t="shared" si="1"/>
        <v>297.55768829015329</v>
      </c>
      <c r="G30">
        <f t="shared" si="29"/>
        <v>39.699910932696064</v>
      </c>
      <c r="H30">
        <f t="shared" si="2"/>
        <v>5611.181518167562</v>
      </c>
      <c r="J30" s="40" t="s">
        <v>39</v>
      </c>
      <c r="K30">
        <v>0.82499999999999996</v>
      </c>
      <c r="L30" s="45">
        <f t="shared" si="3"/>
        <v>24.18</v>
      </c>
      <c r="M30">
        <f t="shared" si="23"/>
        <v>15</v>
      </c>
      <c r="N30">
        <f t="shared" si="4"/>
        <v>393.410437264596</v>
      </c>
      <c r="O30">
        <f t="shared" si="30"/>
        <v>39.699910932696064</v>
      </c>
      <c r="P30">
        <f t="shared" si="5"/>
        <v>7418.7206767137995</v>
      </c>
      <c r="R30" s="41" t="s">
        <v>118</v>
      </c>
      <c r="S30">
        <v>0.65</v>
      </c>
      <c r="T30" s="45">
        <f t="shared" si="6"/>
        <v>18.618600000000001</v>
      </c>
      <c r="U30">
        <f t="shared" si="24"/>
        <v>14.368534457727437</v>
      </c>
      <c r="V30">
        <f t="shared" si="7"/>
        <v>179.46909015710673</v>
      </c>
      <c r="W30">
        <f t="shared" si="31"/>
        <v>39.699910932696064</v>
      </c>
      <c r="X30">
        <f t="shared" si="8"/>
        <v>3384.3307748443399</v>
      </c>
      <c r="Z30" s="40" t="s">
        <v>44</v>
      </c>
      <c r="AA30">
        <v>0.215</v>
      </c>
      <c r="AB30" s="45">
        <f t="shared" si="9"/>
        <v>28.532400000000003</v>
      </c>
      <c r="AC30">
        <f t="shared" si="25"/>
        <v>18.144932165164072</v>
      </c>
      <c r="AD30">
        <f t="shared" si="10"/>
        <v>176.13294257960499</v>
      </c>
      <c r="AE30">
        <f t="shared" si="32"/>
        <v>39.699910932696064</v>
      </c>
      <c r="AF30">
        <f t="shared" si="26"/>
        <v>3321.4195130438943</v>
      </c>
      <c r="AH30" s="41" t="s">
        <v>61</v>
      </c>
      <c r="AI30">
        <v>0.6</v>
      </c>
      <c r="AJ30" s="45">
        <f t="shared" si="11"/>
        <v>36.270000000000003</v>
      </c>
      <c r="AK30">
        <f t="shared" si="27"/>
        <v>8</v>
      </c>
      <c r="AL30">
        <f t="shared" si="12"/>
        <v>344.46360340675352</v>
      </c>
      <c r="AM30">
        <f t="shared" si="33"/>
        <v>39.699910932696064</v>
      </c>
      <c r="AN30">
        <f t="shared" si="13"/>
        <v>6495.7078280317355</v>
      </c>
      <c r="AQ30">
        <f t="shared" si="28"/>
        <v>20.800000000000008</v>
      </c>
      <c r="AR30">
        <f t="shared" si="14"/>
        <v>76.336000000000027</v>
      </c>
      <c r="AS30">
        <f t="shared" si="15"/>
        <v>96.269092340640881</v>
      </c>
      <c r="AT30">
        <f t="shared" si="16"/>
        <v>22.623236700050604</v>
      </c>
      <c r="AU30">
        <f t="shared" si="17"/>
        <v>118.89232904069149</v>
      </c>
      <c r="AV30">
        <f t="shared" si="18"/>
        <v>195.22832904069151</v>
      </c>
      <c r="BA30">
        <f t="shared" si="19"/>
        <v>198.49955466348032</v>
      </c>
      <c r="BB30">
        <f t="shared" si="20"/>
        <v>26.356200000000001</v>
      </c>
      <c r="BC30">
        <f t="shared" si="21"/>
        <v>26.356200000000005</v>
      </c>
    </row>
    <row r="31" spans="1:55">
      <c r="A31" s="39">
        <v>27</v>
      </c>
      <c r="B31" s="41" t="s">
        <v>117</v>
      </c>
      <c r="C31">
        <v>0.56000000000000005</v>
      </c>
      <c r="D31" s="45">
        <f t="shared" si="0"/>
        <v>25.110000000000003</v>
      </c>
      <c r="E31">
        <f t="shared" si="22"/>
        <v>16.942815296002596</v>
      </c>
      <c r="F31">
        <f t="shared" si="1"/>
        <v>326.76631785305938</v>
      </c>
      <c r="G31">
        <f t="shared" si="29"/>
        <v>39.501411378032586</v>
      </c>
      <c r="H31">
        <f t="shared" si="2"/>
        <v>6131.172104349359</v>
      </c>
      <c r="J31" s="40" t="s">
        <v>39</v>
      </c>
      <c r="K31">
        <v>0.82499999999999996</v>
      </c>
      <c r="L31" s="45">
        <f t="shared" si="3"/>
        <v>25.110000000000003</v>
      </c>
      <c r="M31">
        <f t="shared" si="23"/>
        <v>15</v>
      </c>
      <c r="N31">
        <f t="shared" si="4"/>
        <v>423.48688976737662</v>
      </c>
      <c r="O31">
        <f t="shared" si="30"/>
        <v>39.501411378032586</v>
      </c>
      <c r="P31">
        <f t="shared" si="5"/>
        <v>7945.9566768047234</v>
      </c>
      <c r="R31" s="41" t="s">
        <v>118</v>
      </c>
      <c r="S31">
        <v>0.65</v>
      </c>
      <c r="T31" s="45">
        <f t="shared" si="6"/>
        <v>19.334700000000002</v>
      </c>
      <c r="U31">
        <f t="shared" si="24"/>
        <v>14.675369324792998</v>
      </c>
      <c r="V31">
        <f t="shared" si="7"/>
        <v>197.21506259058467</v>
      </c>
      <c r="W31">
        <f t="shared" si="31"/>
        <v>39.501411378032586</v>
      </c>
      <c r="X31">
        <f t="shared" si="8"/>
        <v>3700.3798257341864</v>
      </c>
      <c r="Z31" s="40" t="s">
        <v>44</v>
      </c>
      <c r="AA31">
        <v>0.215</v>
      </c>
      <c r="AB31" s="45">
        <f t="shared" si="9"/>
        <v>29.629799999999999</v>
      </c>
      <c r="AC31">
        <f t="shared" si="25"/>
        <v>18.512119166731441</v>
      </c>
      <c r="AD31">
        <f t="shared" si="10"/>
        <v>193.34219845233096</v>
      </c>
      <c r="AE31">
        <f t="shared" si="32"/>
        <v>39.501411378032586</v>
      </c>
      <c r="AF31">
        <f t="shared" si="26"/>
        <v>3627.7126159544018</v>
      </c>
      <c r="AH31" s="41" t="s">
        <v>61</v>
      </c>
      <c r="AI31">
        <v>0.6</v>
      </c>
      <c r="AJ31" s="45">
        <f t="shared" si="11"/>
        <v>37.664999999999999</v>
      </c>
      <c r="AK31">
        <f t="shared" si="27"/>
        <v>8</v>
      </c>
      <c r="AL31">
        <f t="shared" si="12"/>
        <v>370.79804252035512</v>
      </c>
      <c r="AM31">
        <f t="shared" si="33"/>
        <v>39.501411378032586</v>
      </c>
      <c r="AN31">
        <f t="shared" si="13"/>
        <v>6957.3468574887393</v>
      </c>
      <c r="AQ31">
        <f t="shared" si="28"/>
        <v>21.600000000000009</v>
      </c>
      <c r="AR31">
        <f t="shared" si="14"/>
        <v>79.272000000000034</v>
      </c>
      <c r="AS31">
        <f t="shared" si="15"/>
        <v>104.09062485481627</v>
      </c>
      <c r="AT31">
        <f t="shared" si="16"/>
        <v>24.461296840881822</v>
      </c>
      <c r="AU31">
        <f t="shared" si="17"/>
        <v>128.5519216956981</v>
      </c>
      <c r="AV31">
        <f t="shared" si="18"/>
        <v>207.82392169569812</v>
      </c>
      <c r="BA31">
        <f t="shared" si="19"/>
        <v>197.50705689016291</v>
      </c>
      <c r="BB31">
        <f t="shared" si="20"/>
        <v>27.369900000000001</v>
      </c>
      <c r="BC31">
        <f t="shared" si="21"/>
        <v>27.369900000000001</v>
      </c>
    </row>
    <row r="32" spans="1:55">
      <c r="A32" s="39">
        <v>28</v>
      </c>
      <c r="B32" s="41" t="s">
        <v>117</v>
      </c>
      <c r="C32">
        <v>0.56000000000000005</v>
      </c>
      <c r="D32" s="45">
        <f t="shared" si="0"/>
        <v>26.040000000000003</v>
      </c>
      <c r="E32">
        <f t="shared" si="22"/>
        <v>17.278572879814138</v>
      </c>
      <c r="F32">
        <f t="shared" si="1"/>
        <v>357.59007112871797</v>
      </c>
      <c r="G32">
        <f t="shared" si="29"/>
        <v>39.303904321142426</v>
      </c>
      <c r="H32">
        <f t="shared" si="2"/>
        <v>6675.9758223709814</v>
      </c>
      <c r="J32" s="40" t="s">
        <v>39</v>
      </c>
      <c r="K32">
        <v>0.82499999999999996</v>
      </c>
      <c r="L32" s="45">
        <f t="shared" si="3"/>
        <v>26.040000000000003</v>
      </c>
      <c r="M32">
        <f t="shared" si="23"/>
        <v>15</v>
      </c>
      <c r="N32">
        <f t="shared" si="4"/>
        <v>454.64286477746316</v>
      </c>
      <c r="O32">
        <f t="shared" si="30"/>
        <v>39.303904321142426</v>
      </c>
      <c r="P32">
        <f t="shared" si="5"/>
        <v>8487.8888373141654</v>
      </c>
      <c r="R32" s="41" t="s">
        <v>118</v>
      </c>
      <c r="S32">
        <v>0.65</v>
      </c>
      <c r="T32" s="45">
        <f t="shared" si="6"/>
        <v>20.050800000000002</v>
      </c>
      <c r="U32">
        <f t="shared" si="24"/>
        <v>14.975869289701969</v>
      </c>
      <c r="V32">
        <f t="shared" si="7"/>
        <v>215.95448125194747</v>
      </c>
      <c r="W32">
        <f t="shared" si="31"/>
        <v>39.303904321142426</v>
      </c>
      <c r="X32">
        <f t="shared" si="8"/>
        <v>4031.7307777030319</v>
      </c>
      <c r="Z32" s="40" t="s">
        <v>44</v>
      </c>
      <c r="AA32">
        <v>0.215</v>
      </c>
      <c r="AB32" s="45">
        <f t="shared" si="9"/>
        <v>30.7272</v>
      </c>
      <c r="AC32">
        <f t="shared" si="25"/>
        <v>18.87124990554026</v>
      </c>
      <c r="AD32">
        <f t="shared" si="10"/>
        <v>211.49559287696286</v>
      </c>
      <c r="AE32">
        <f t="shared" si="32"/>
        <v>39.303904321142426</v>
      </c>
      <c r="AF32">
        <f t="shared" si="26"/>
        <v>3948.486209720234</v>
      </c>
      <c r="AH32" s="41" t="s">
        <v>61</v>
      </c>
      <c r="AI32">
        <v>0.6</v>
      </c>
      <c r="AJ32" s="45">
        <f t="shared" si="11"/>
        <v>39.06</v>
      </c>
      <c r="AK32">
        <f t="shared" si="27"/>
        <v>8</v>
      </c>
      <c r="AL32">
        <f t="shared" si="12"/>
        <v>398.07769349821427</v>
      </c>
      <c r="AM32">
        <f t="shared" si="33"/>
        <v>39.303904321142426</v>
      </c>
      <c r="AN32">
        <f t="shared" si="13"/>
        <v>7431.8535993765654</v>
      </c>
      <c r="AQ32">
        <f t="shared" si="28"/>
        <v>22.400000000000009</v>
      </c>
      <c r="AR32">
        <f t="shared" si="14"/>
        <v>82.208000000000027</v>
      </c>
      <c r="AS32">
        <f t="shared" si="15"/>
        <v>112.21368235459988</v>
      </c>
      <c r="AT32">
        <f t="shared" si="16"/>
        <v>26.37021535333097</v>
      </c>
      <c r="AU32">
        <f t="shared" si="17"/>
        <v>138.58389770793084</v>
      </c>
      <c r="AV32">
        <f t="shared" si="18"/>
        <v>220.79189770793087</v>
      </c>
      <c r="BA32">
        <f t="shared" si="19"/>
        <v>196.51952160571213</v>
      </c>
      <c r="BB32">
        <f t="shared" si="20"/>
        <v>28.383600000000001</v>
      </c>
      <c r="BC32">
        <f t="shared" si="21"/>
        <v>28.383600000000005</v>
      </c>
    </row>
    <row r="33" spans="1:55">
      <c r="A33" s="39">
        <v>29</v>
      </c>
      <c r="B33" s="41" t="s">
        <v>117</v>
      </c>
      <c r="C33">
        <v>0.56000000000000005</v>
      </c>
      <c r="D33" s="45">
        <f t="shared" si="0"/>
        <v>26.970000000000002</v>
      </c>
      <c r="E33">
        <f t="shared" si="22"/>
        <v>17.607351918007453</v>
      </c>
      <c r="F33">
        <f t="shared" si="1"/>
        <v>390.05295601497113</v>
      </c>
      <c r="G33">
        <f t="shared" si="29"/>
        <v>39.10738479953671</v>
      </c>
      <c r="H33">
        <f t="shared" si="2"/>
        <v>7245.6267454602648</v>
      </c>
      <c r="J33" s="40" t="s">
        <v>39</v>
      </c>
      <c r="K33">
        <v>0.82499999999999996</v>
      </c>
      <c r="L33" s="45">
        <f t="shared" si="3"/>
        <v>26.970000000000002</v>
      </c>
      <c r="M33">
        <f t="shared" si="23"/>
        <v>15</v>
      </c>
      <c r="N33">
        <f t="shared" si="4"/>
        <v>486.8764790386046</v>
      </c>
      <c r="O33">
        <f t="shared" si="30"/>
        <v>39.10738479953671</v>
      </c>
      <c r="P33">
        <f t="shared" si="5"/>
        <v>9044.2212624129825</v>
      </c>
      <c r="R33" s="41" t="s">
        <v>118</v>
      </c>
      <c r="S33">
        <v>0.65</v>
      </c>
      <c r="T33" s="45">
        <f t="shared" si="6"/>
        <v>20.766900000000003</v>
      </c>
      <c r="U33">
        <f t="shared" si="24"/>
        <v>15</v>
      </c>
      <c r="V33">
        <f t="shared" si="7"/>
        <v>231.62907463510336</v>
      </c>
      <c r="W33">
        <f t="shared" si="31"/>
        <v>39.10738479953671</v>
      </c>
      <c r="X33">
        <f t="shared" si="8"/>
        <v>4302.743492444908</v>
      </c>
      <c r="Z33" s="40" t="s">
        <v>44</v>
      </c>
      <c r="AA33">
        <v>0.215</v>
      </c>
      <c r="AB33" s="45">
        <f t="shared" si="9"/>
        <v>31.8246</v>
      </c>
      <c r="AC33">
        <f t="shared" si="25"/>
        <v>19.222741056437883</v>
      </c>
      <c r="AD33">
        <f t="shared" si="10"/>
        <v>230.60676050806654</v>
      </c>
      <c r="AE33">
        <f t="shared" si="32"/>
        <v>39.10738479953671</v>
      </c>
      <c r="AF33">
        <f t="shared" si="26"/>
        <v>4283.7529772676926</v>
      </c>
      <c r="AH33" s="41" t="s">
        <v>61</v>
      </c>
      <c r="AI33">
        <v>0.6</v>
      </c>
      <c r="AJ33" s="45">
        <f t="shared" si="11"/>
        <v>40.455000000000005</v>
      </c>
      <c r="AK33">
        <f t="shared" si="27"/>
        <v>8</v>
      </c>
      <c r="AL33">
        <f t="shared" si="12"/>
        <v>426.3009073926346</v>
      </c>
      <c r="AM33">
        <f t="shared" si="33"/>
        <v>39.10738479953671</v>
      </c>
      <c r="AN33">
        <f t="shared" si="13"/>
        <v>7918.9689722528265</v>
      </c>
      <c r="AQ33">
        <f t="shared" si="28"/>
        <v>23.20000000000001</v>
      </c>
      <c r="AR33">
        <f t="shared" si="14"/>
        <v>85.144000000000034</v>
      </c>
      <c r="AS33">
        <f t="shared" si="15"/>
        <v>120.35880036090792</v>
      </c>
      <c r="AT33">
        <f t="shared" si="16"/>
        <v>28.284318084813361</v>
      </c>
      <c r="AU33">
        <f t="shared" si="17"/>
        <v>148.64311844572129</v>
      </c>
      <c r="AV33">
        <f t="shared" si="18"/>
        <v>233.78711844572132</v>
      </c>
      <c r="BA33">
        <f t="shared" si="19"/>
        <v>195.53692399768354</v>
      </c>
      <c r="BB33">
        <f t="shared" si="20"/>
        <v>29.397300000000001</v>
      </c>
      <c r="BC33">
        <f t="shared" si="21"/>
        <v>29.397300000000001</v>
      </c>
    </row>
    <row r="34" spans="1:55">
      <c r="A34" s="39">
        <v>30</v>
      </c>
      <c r="B34" s="41" t="s">
        <v>117</v>
      </c>
      <c r="C34">
        <v>0.56000000000000005</v>
      </c>
      <c r="D34" s="45">
        <f t="shared" si="0"/>
        <v>27.900000000000002</v>
      </c>
      <c r="E34">
        <f t="shared" si="22"/>
        <v>17.929498045025785</v>
      </c>
      <c r="F34">
        <f t="shared" si="1"/>
        <v>424.17833145114633</v>
      </c>
      <c r="G34">
        <f t="shared" si="29"/>
        <v>38.911847875539024</v>
      </c>
      <c r="H34">
        <f t="shared" si="2"/>
        <v>7840.1422851253128</v>
      </c>
      <c r="J34" s="40" t="s">
        <v>39</v>
      </c>
      <c r="K34">
        <v>0.82499999999999996</v>
      </c>
      <c r="L34" s="45">
        <f t="shared" si="3"/>
        <v>27.900000000000002</v>
      </c>
      <c r="M34">
        <f t="shared" si="23"/>
        <v>15</v>
      </c>
      <c r="N34">
        <f t="shared" si="4"/>
        <v>520.18591853096689</v>
      </c>
      <c r="O34">
        <f t="shared" si="30"/>
        <v>38.911847875539024</v>
      </c>
      <c r="P34">
        <f t="shared" si="5"/>
        <v>9614.6627812153965</v>
      </c>
      <c r="R34" s="41" t="s">
        <v>118</v>
      </c>
      <c r="S34">
        <v>0.65</v>
      </c>
      <c r="T34" s="45">
        <f t="shared" si="6"/>
        <v>21.483000000000004</v>
      </c>
      <c r="U34">
        <f t="shared" si="24"/>
        <v>15</v>
      </c>
      <c r="V34">
        <f t="shared" si="7"/>
        <v>247.4758755762067</v>
      </c>
      <c r="W34">
        <f t="shared" si="31"/>
        <v>38.911847875539024</v>
      </c>
      <c r="X34">
        <f t="shared" si="8"/>
        <v>4574.1282210614099</v>
      </c>
      <c r="Z34" s="40" t="s">
        <v>44</v>
      </c>
      <c r="AA34">
        <v>0.215</v>
      </c>
      <c r="AB34" s="45">
        <f t="shared" si="9"/>
        <v>32.921999999999997</v>
      </c>
      <c r="AC34">
        <f t="shared" si="25"/>
        <v>19.566975102181534</v>
      </c>
      <c r="AD34">
        <f t="shared" si="10"/>
        <v>250.68895958880751</v>
      </c>
      <c r="AE34">
        <f t="shared" si="32"/>
        <v>38.911847875539024</v>
      </c>
      <c r="AF34">
        <f t="shared" si="26"/>
        <v>4633.5160633084934</v>
      </c>
      <c r="AH34" s="41" t="s">
        <v>61</v>
      </c>
      <c r="AI34">
        <v>0.6</v>
      </c>
      <c r="AJ34" s="45">
        <f t="shared" si="11"/>
        <v>41.85</v>
      </c>
      <c r="AK34">
        <f t="shared" si="27"/>
        <v>8</v>
      </c>
      <c r="AL34">
        <f t="shared" si="12"/>
        <v>455.46609587816869</v>
      </c>
      <c r="AM34">
        <f t="shared" si="33"/>
        <v>38.911847875539024</v>
      </c>
      <c r="AN34">
        <f t="shared" si="13"/>
        <v>8418.438031756561</v>
      </c>
      <c r="AQ34">
        <f t="shared" si="28"/>
        <v>24.000000000000011</v>
      </c>
      <c r="AR34">
        <f t="shared" si="14"/>
        <v>88.080000000000041</v>
      </c>
      <c r="AS34">
        <f t="shared" si="15"/>
        <v>128.74685669365454</v>
      </c>
      <c r="AT34">
        <f>AS34*0.235</f>
        <v>30.255511323008815</v>
      </c>
      <c r="AU34">
        <f t="shared" si="17"/>
        <v>159.00236801666335</v>
      </c>
      <c r="AV34">
        <f t="shared" si="18"/>
        <v>247.08236801666339</v>
      </c>
      <c r="BA34">
        <f t="shared" si="19"/>
        <v>194.55923937769512</v>
      </c>
      <c r="BB34">
        <f t="shared" si="20"/>
        <v>30.411000000000001</v>
      </c>
      <c r="BC34">
        <f t="shared" si="21"/>
        <v>30.410999999999998</v>
      </c>
    </row>
    <row r="37" spans="1:55">
      <c r="B37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ClimateLab</dc:creator>
  <cp:keywords/>
  <dc:description/>
  <cp:lastModifiedBy>Nicole Hühnert</cp:lastModifiedBy>
  <cp:revision/>
  <dcterms:created xsi:type="dcterms:W3CDTF">2023-09-05T08:33:06Z</dcterms:created>
  <dcterms:modified xsi:type="dcterms:W3CDTF">2025-03-07T10:26:06Z</dcterms:modified>
  <cp:category/>
  <cp:contentStatus/>
</cp:coreProperties>
</file>