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eonoredal/Desktop/RI/Back up Climate Lab/PDD/2026_DataTransfer_CLtoGDVlux/Annexes_PDD/Annex6_CarbonCalculationSheet/"/>
    </mc:Choice>
  </mc:AlternateContent>
  <xr:revisionPtr revIDLastSave="0" documentId="13_ncr:1_{A91817D6-79AC-0742-B00F-35F5A6FFE77D}" xr6:coauthVersionLast="47" xr6:coauthVersionMax="47" xr10:uidLastSave="{00000000-0000-0000-0000-000000000000}"/>
  <bookViews>
    <workbookView xWindow="0" yWindow="660" windowWidth="28800" windowHeight="16100" activeTab="2" xr2:uid="{0AF538D0-22CE-2C45-9C10-6D16B75F9BD6}"/>
  </bookViews>
  <sheets>
    <sheet name="Growthfiles_clean" sheetId="9" r:id="rId1"/>
    <sheet name="Calculations" sheetId="12" r:id="rId2"/>
    <sheet name="HomeOrchard_Adjust" sheetId="15" r:id="rId3"/>
    <sheet name="HomeOrchard" sheetId="6" r:id="rId4"/>
    <sheet name="SmallCommunalGarden_adjust" sheetId="16" r:id="rId5"/>
    <sheet name="SmallCommunalGarden" sheetId="13" r:id="rId6"/>
    <sheet name="LargeCommunalGarden_Adjust" sheetId="17" r:id="rId7"/>
    <sheet name="LargeCommunalGarden" sheetId="14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E10" i="15" l="1"/>
  <c r="BE16" i="15"/>
  <c r="AQ6" i="17"/>
  <c r="AQ7" i="17" s="1"/>
  <c r="AQ8" i="17" s="1"/>
  <c r="AQ9" i="17" s="1"/>
  <c r="AQ10" i="17" s="1"/>
  <c r="AQ11" i="17" s="1"/>
  <c r="AQ12" i="17" s="1"/>
  <c r="AQ13" i="17" s="1"/>
  <c r="AQ14" i="17" s="1"/>
  <c r="AQ15" i="17" s="1"/>
  <c r="AQ16" i="17" s="1"/>
  <c r="AQ17" i="17" s="1"/>
  <c r="AQ18" i="17" s="1"/>
  <c r="AQ19" i="17" s="1"/>
  <c r="AQ20" i="17" s="1"/>
  <c r="AQ21" i="17" s="1"/>
  <c r="AQ22" i="17" s="1"/>
  <c r="AQ23" i="17" s="1"/>
  <c r="AQ24" i="17" s="1"/>
  <c r="AQ25" i="17" s="1"/>
  <c r="AQ26" i="17" s="1"/>
  <c r="AQ27" i="17" s="1"/>
  <c r="AQ28" i="17" s="1"/>
  <c r="AQ29" i="17" s="1"/>
  <c r="AQ30" i="17" s="1"/>
  <c r="AQ31" i="17" s="1"/>
  <c r="AQ32" i="17" s="1"/>
  <c r="AQ33" i="17" s="1"/>
  <c r="AQ34" i="17" s="1"/>
  <c r="AQ5" i="17"/>
  <c r="AX6" i="16"/>
  <c r="AX7" i="16"/>
  <c r="AX8" i="16"/>
  <c r="AX9" i="16"/>
  <c r="AX10" i="16"/>
  <c r="AX11" i="16"/>
  <c r="AX12" i="16"/>
  <c r="AX13" i="16"/>
  <c r="AX14" i="16"/>
  <c r="AX15" i="16"/>
  <c r="AX16" i="16" s="1"/>
  <c r="AX17" i="16" s="1"/>
  <c r="AX18" i="16" s="1"/>
  <c r="AX19" i="16" s="1"/>
  <c r="AX20" i="16" s="1"/>
  <c r="AX21" i="16" s="1"/>
  <c r="AX22" i="16" s="1"/>
  <c r="AX23" i="16" s="1"/>
  <c r="AX24" i="16" s="1"/>
  <c r="AX25" i="16" s="1"/>
  <c r="AX26" i="16" s="1"/>
  <c r="AX27" i="16" s="1"/>
  <c r="AX28" i="16" s="1"/>
  <c r="AX29" i="16" s="1"/>
  <c r="AX30" i="16" s="1"/>
  <c r="AX31" i="16" s="1"/>
  <c r="AX32" i="16" s="1"/>
  <c r="AX33" i="16" s="1"/>
  <c r="AX34" i="16" s="1"/>
  <c r="AX5" i="16"/>
  <c r="AX9" i="15"/>
  <c r="AX10" i="15"/>
  <c r="AX11" i="15"/>
  <c r="AX12" i="15"/>
  <c r="AX13" i="15"/>
  <c r="AX14" i="15"/>
  <c r="AX15" i="15"/>
  <c r="AX16" i="15"/>
  <c r="AX17" i="15" s="1"/>
  <c r="AX18" i="15" s="1"/>
  <c r="AX19" i="15" s="1"/>
  <c r="AX20" i="15" s="1"/>
  <c r="AX21" i="15" s="1"/>
  <c r="AX22" i="15" s="1"/>
  <c r="AX23" i="15" s="1"/>
  <c r="AX24" i="15" s="1"/>
  <c r="AX25" i="15" s="1"/>
  <c r="AX26" i="15" s="1"/>
  <c r="AX27" i="15" s="1"/>
  <c r="AX28" i="15" s="1"/>
  <c r="AX29" i="15" s="1"/>
  <c r="AX30" i="15" s="1"/>
  <c r="AX31" i="15" s="1"/>
  <c r="AX32" i="15" s="1"/>
  <c r="AX33" i="15" s="1"/>
  <c r="AX34" i="15" s="1"/>
  <c r="AX35" i="15" s="1"/>
  <c r="AX36" i="15" s="1"/>
  <c r="AX37" i="15" s="1"/>
  <c r="AX8" i="15"/>
  <c r="C24" i="12"/>
  <c r="C16" i="12"/>
  <c r="BF17" i="6"/>
  <c r="BF14" i="13"/>
  <c r="AY14" i="14"/>
  <c r="AT6" i="17"/>
  <c r="AT7" i="17"/>
  <c r="AT8" i="17"/>
  <c r="AT9" i="17"/>
  <c r="AT10" i="17"/>
  <c r="AT11" i="17"/>
  <c r="AT12" i="17"/>
  <c r="AT13" i="17"/>
  <c r="AT14" i="17"/>
  <c r="AT15" i="17"/>
  <c r="AT16" i="17"/>
  <c r="AT17" i="17"/>
  <c r="AT18" i="17"/>
  <c r="AT19" i="17"/>
  <c r="AT20" i="17"/>
  <c r="AT21" i="17"/>
  <c r="AT22" i="17"/>
  <c r="AT23" i="17"/>
  <c r="AT24" i="17"/>
  <c r="AT25" i="17"/>
  <c r="AT26" i="17"/>
  <c r="AT27" i="17"/>
  <c r="AT28" i="17"/>
  <c r="AT29" i="17"/>
  <c r="AT30" i="17"/>
  <c r="AT31" i="17"/>
  <c r="AT32" i="17"/>
  <c r="AT33" i="17"/>
  <c r="AT34" i="17"/>
  <c r="AT5" i="17"/>
  <c r="AJ34" i="17"/>
  <c r="AB34" i="17"/>
  <c r="T34" i="17"/>
  <c r="L34" i="17"/>
  <c r="D34" i="17"/>
  <c r="AJ33" i="17"/>
  <c r="AB33" i="17"/>
  <c r="T33" i="17"/>
  <c r="L33" i="17"/>
  <c r="D33" i="17"/>
  <c r="AJ32" i="17"/>
  <c r="AB32" i="17"/>
  <c r="T32" i="17"/>
  <c r="L32" i="17"/>
  <c r="D32" i="17"/>
  <c r="AK31" i="17"/>
  <c r="AJ31" i="17"/>
  <c r="AL31" i="17" s="1"/>
  <c r="AB31" i="17"/>
  <c r="T31" i="17"/>
  <c r="L31" i="17"/>
  <c r="D31" i="17"/>
  <c r="AK30" i="17"/>
  <c r="AJ30" i="17"/>
  <c r="AL30" i="17" s="1"/>
  <c r="AB30" i="17"/>
  <c r="U30" i="17"/>
  <c r="T30" i="17"/>
  <c r="V30" i="17" s="1"/>
  <c r="L30" i="17"/>
  <c r="E30" i="17"/>
  <c r="D30" i="17"/>
  <c r="AK29" i="17"/>
  <c r="AJ29" i="17"/>
  <c r="AL29" i="17" s="1"/>
  <c r="AB29" i="17"/>
  <c r="T29" i="17"/>
  <c r="L29" i="17"/>
  <c r="D29" i="17"/>
  <c r="AJ28" i="17"/>
  <c r="AB28" i="17"/>
  <c r="T28" i="17"/>
  <c r="L28" i="17"/>
  <c r="D28" i="17"/>
  <c r="AJ27" i="17"/>
  <c r="AB27" i="17"/>
  <c r="T27" i="17"/>
  <c r="L27" i="17"/>
  <c r="D27" i="17"/>
  <c r="AJ26" i="17"/>
  <c r="AB26" i="17"/>
  <c r="U26" i="17"/>
  <c r="V26" i="17" s="1"/>
  <c r="T26" i="17"/>
  <c r="L26" i="17"/>
  <c r="D26" i="17"/>
  <c r="AJ25" i="17"/>
  <c r="AB25" i="17"/>
  <c r="U25" i="17"/>
  <c r="T25" i="17"/>
  <c r="V25" i="17" s="1"/>
  <c r="L25" i="17"/>
  <c r="D25" i="17"/>
  <c r="AJ24" i="17"/>
  <c r="AB24" i="17"/>
  <c r="T24" i="17"/>
  <c r="L24" i="17"/>
  <c r="D24" i="17"/>
  <c r="AJ23" i="17"/>
  <c r="AB23" i="17"/>
  <c r="T23" i="17"/>
  <c r="L23" i="17"/>
  <c r="D23" i="17"/>
  <c r="AJ22" i="17"/>
  <c r="AB22" i="17"/>
  <c r="T22" i="17"/>
  <c r="L22" i="17"/>
  <c r="D22" i="17"/>
  <c r="AJ21" i="17"/>
  <c r="AB21" i="17"/>
  <c r="T21" i="17"/>
  <c r="L21" i="17"/>
  <c r="D21" i="17"/>
  <c r="AJ20" i="17"/>
  <c r="AB20" i="17"/>
  <c r="T20" i="17"/>
  <c r="L20" i="17"/>
  <c r="D20" i="17"/>
  <c r="AJ19" i="17"/>
  <c r="AB19" i="17"/>
  <c r="T19" i="17"/>
  <c r="L19" i="17"/>
  <c r="D19" i="17"/>
  <c r="AJ18" i="17"/>
  <c r="AB18" i="17"/>
  <c r="T18" i="17"/>
  <c r="L18" i="17"/>
  <c r="D18" i="17"/>
  <c r="AJ17" i="17"/>
  <c r="AB17" i="17"/>
  <c r="T17" i="17"/>
  <c r="L17" i="17"/>
  <c r="D17" i="17"/>
  <c r="AJ16" i="17"/>
  <c r="AB16" i="17"/>
  <c r="T16" i="17"/>
  <c r="L16" i="17"/>
  <c r="D16" i="17"/>
  <c r="AJ15" i="17"/>
  <c r="AB15" i="17"/>
  <c r="T15" i="17"/>
  <c r="L15" i="17"/>
  <c r="D15" i="17"/>
  <c r="AJ14" i="17"/>
  <c r="AB14" i="17"/>
  <c r="T14" i="17"/>
  <c r="L14" i="17"/>
  <c r="D14" i="17"/>
  <c r="AJ13" i="17"/>
  <c r="AB13" i="17"/>
  <c r="T13" i="17"/>
  <c r="L13" i="17"/>
  <c r="E13" i="17"/>
  <c r="F13" i="17" s="1"/>
  <c r="D13" i="17"/>
  <c r="AJ12" i="17"/>
  <c r="AB12" i="17"/>
  <c r="T12" i="17"/>
  <c r="L12" i="17"/>
  <c r="D12" i="17"/>
  <c r="AJ11" i="17"/>
  <c r="AB11" i="17"/>
  <c r="T11" i="17"/>
  <c r="L11" i="17"/>
  <c r="D11" i="17"/>
  <c r="AJ10" i="17"/>
  <c r="AB10" i="17"/>
  <c r="T10" i="17"/>
  <c r="L10" i="17"/>
  <c r="D10" i="17"/>
  <c r="AJ9" i="17"/>
  <c r="AB9" i="17"/>
  <c r="T9" i="17"/>
  <c r="L9" i="17"/>
  <c r="D9" i="17"/>
  <c r="AJ8" i="17"/>
  <c r="AB8" i="17"/>
  <c r="T8" i="17"/>
  <c r="L8" i="17"/>
  <c r="D8" i="17"/>
  <c r="AJ7" i="17"/>
  <c r="AB7" i="17"/>
  <c r="T7" i="17"/>
  <c r="L7" i="17"/>
  <c r="D7" i="17"/>
  <c r="AJ6" i="17"/>
  <c r="AB6" i="17"/>
  <c r="T6" i="17"/>
  <c r="L6" i="17"/>
  <c r="D6" i="17"/>
  <c r="AM5" i="17"/>
  <c r="AM6" i="17" s="1"/>
  <c r="AM7" i="17" s="1"/>
  <c r="AM8" i="17" s="1"/>
  <c r="AM9" i="17" s="1"/>
  <c r="AM10" i="17" s="1"/>
  <c r="AM11" i="17" s="1"/>
  <c r="AM12" i="17" s="1"/>
  <c r="AM13" i="17" s="1"/>
  <c r="AM14" i="17" s="1"/>
  <c r="AM15" i="17" s="1"/>
  <c r="AM16" i="17" s="1"/>
  <c r="AM17" i="17" s="1"/>
  <c r="AM18" i="17" s="1"/>
  <c r="AM19" i="17" s="1"/>
  <c r="AM20" i="17" s="1"/>
  <c r="AM21" i="17" s="1"/>
  <c r="AM22" i="17" s="1"/>
  <c r="AM23" i="17" s="1"/>
  <c r="AM24" i="17" s="1"/>
  <c r="AM25" i="17" s="1"/>
  <c r="AM26" i="17" s="1"/>
  <c r="AM27" i="17" s="1"/>
  <c r="AM28" i="17" s="1"/>
  <c r="AM29" i="17" s="1"/>
  <c r="AM30" i="17" s="1"/>
  <c r="AM31" i="17" s="1"/>
  <c r="AM32" i="17" s="1"/>
  <c r="AM33" i="17" s="1"/>
  <c r="AM34" i="17" s="1"/>
  <c r="AJ5" i="17"/>
  <c r="AE5" i="17"/>
  <c r="AE6" i="17" s="1"/>
  <c r="AE7" i="17" s="1"/>
  <c r="AE8" i="17" s="1"/>
  <c r="AE9" i="17" s="1"/>
  <c r="AE10" i="17" s="1"/>
  <c r="AE11" i="17" s="1"/>
  <c r="AE12" i="17" s="1"/>
  <c r="AE13" i="17" s="1"/>
  <c r="AE14" i="17" s="1"/>
  <c r="AE15" i="17" s="1"/>
  <c r="AE16" i="17" s="1"/>
  <c r="AE17" i="17" s="1"/>
  <c r="AE18" i="17" s="1"/>
  <c r="AE19" i="17" s="1"/>
  <c r="AE20" i="17" s="1"/>
  <c r="AE21" i="17" s="1"/>
  <c r="AE22" i="17" s="1"/>
  <c r="AE23" i="17" s="1"/>
  <c r="AE24" i="17" s="1"/>
  <c r="AE25" i="17" s="1"/>
  <c r="AE26" i="17" s="1"/>
  <c r="AE27" i="17" s="1"/>
  <c r="AE28" i="17" s="1"/>
  <c r="AE29" i="17" s="1"/>
  <c r="AE30" i="17" s="1"/>
  <c r="AE31" i="17" s="1"/>
  <c r="AE32" i="17" s="1"/>
  <c r="AE33" i="17" s="1"/>
  <c r="AE34" i="17" s="1"/>
  <c r="AB5" i="17"/>
  <c r="W5" i="17"/>
  <c r="W6" i="17" s="1"/>
  <c r="W7" i="17" s="1"/>
  <c r="W8" i="17" s="1"/>
  <c r="W9" i="17" s="1"/>
  <c r="W10" i="17" s="1"/>
  <c r="W11" i="17" s="1"/>
  <c r="W12" i="17" s="1"/>
  <c r="W13" i="17" s="1"/>
  <c r="W14" i="17" s="1"/>
  <c r="W15" i="17" s="1"/>
  <c r="W16" i="17" s="1"/>
  <c r="W17" i="17" s="1"/>
  <c r="W18" i="17" s="1"/>
  <c r="W19" i="17" s="1"/>
  <c r="W20" i="17" s="1"/>
  <c r="W21" i="17" s="1"/>
  <c r="W22" i="17" s="1"/>
  <c r="W23" i="17" s="1"/>
  <c r="W24" i="17" s="1"/>
  <c r="W25" i="17" s="1"/>
  <c r="W26" i="17" s="1"/>
  <c r="W27" i="17" s="1"/>
  <c r="W28" i="17" s="1"/>
  <c r="W29" i="17" s="1"/>
  <c r="W30" i="17" s="1"/>
  <c r="W31" i="17" s="1"/>
  <c r="W32" i="17" s="1"/>
  <c r="W33" i="17" s="1"/>
  <c r="W34" i="17" s="1"/>
  <c r="T5" i="17"/>
  <c r="O5" i="17"/>
  <c r="O6" i="17" s="1"/>
  <c r="O7" i="17" s="1"/>
  <c r="O8" i="17" s="1"/>
  <c r="O9" i="17" s="1"/>
  <c r="O10" i="17" s="1"/>
  <c r="O11" i="17" s="1"/>
  <c r="O12" i="17" s="1"/>
  <c r="O13" i="17" s="1"/>
  <c r="O14" i="17" s="1"/>
  <c r="O15" i="17" s="1"/>
  <c r="O16" i="17" s="1"/>
  <c r="O17" i="17" s="1"/>
  <c r="O18" i="17" s="1"/>
  <c r="O19" i="17" s="1"/>
  <c r="O20" i="17" s="1"/>
  <c r="O21" i="17" s="1"/>
  <c r="O22" i="17" s="1"/>
  <c r="O23" i="17" s="1"/>
  <c r="O24" i="17" s="1"/>
  <c r="O25" i="17" s="1"/>
  <c r="O26" i="17" s="1"/>
  <c r="O27" i="17" s="1"/>
  <c r="O28" i="17" s="1"/>
  <c r="O29" i="17" s="1"/>
  <c r="O30" i="17" s="1"/>
  <c r="O31" i="17" s="1"/>
  <c r="O32" i="17" s="1"/>
  <c r="O33" i="17" s="1"/>
  <c r="O34" i="17" s="1"/>
  <c r="L5" i="17"/>
  <c r="G5" i="17"/>
  <c r="D5" i="17"/>
  <c r="BA4" i="17"/>
  <c r="AR4" i="17"/>
  <c r="AJ4" i="17"/>
  <c r="AD4" i="17"/>
  <c r="AF4" i="17" s="1"/>
  <c r="T4" i="17"/>
  <c r="L4" i="17"/>
  <c r="D4" i="17"/>
  <c r="BA4" i="16"/>
  <c r="BA6" i="16"/>
  <c r="BA7" i="16"/>
  <c r="BA8" i="16"/>
  <c r="BA9" i="16"/>
  <c r="BA10" i="16"/>
  <c r="BA11" i="16"/>
  <c r="BA12" i="16"/>
  <c r="BA13" i="16"/>
  <c r="BA14" i="16"/>
  <c r="BA15" i="16"/>
  <c r="BA16" i="16"/>
  <c r="BA17" i="16"/>
  <c r="BA18" i="16"/>
  <c r="BA19" i="16"/>
  <c r="BA20" i="16"/>
  <c r="BA21" i="16"/>
  <c r="BA22" i="16"/>
  <c r="BA23" i="16"/>
  <c r="BA24" i="16"/>
  <c r="BA25" i="16"/>
  <c r="BA26" i="16"/>
  <c r="BA27" i="16"/>
  <c r="BA28" i="16"/>
  <c r="BA29" i="16"/>
  <c r="BA30" i="16"/>
  <c r="BA31" i="16"/>
  <c r="BA32" i="16"/>
  <c r="BA33" i="16"/>
  <c r="BA34" i="16"/>
  <c r="BA5" i="16"/>
  <c r="AR34" i="16"/>
  <c r="AJ34" i="16"/>
  <c r="AB34" i="16"/>
  <c r="T34" i="16"/>
  <c r="L34" i="16"/>
  <c r="D34" i="16"/>
  <c r="AR33" i="16"/>
  <c r="AJ33" i="16"/>
  <c r="AB33" i="16"/>
  <c r="T33" i="16"/>
  <c r="L33" i="16"/>
  <c r="D33" i="16"/>
  <c r="AR32" i="16"/>
  <c r="AK32" i="16"/>
  <c r="AJ32" i="16"/>
  <c r="AL32" i="16" s="1"/>
  <c r="AB32" i="16"/>
  <c r="T32" i="16"/>
  <c r="L32" i="16"/>
  <c r="D32" i="16"/>
  <c r="AR31" i="16"/>
  <c r="AJ31" i="16"/>
  <c r="AK31" i="16" s="1"/>
  <c r="AL31" i="16" s="1"/>
  <c r="AN31" i="16" s="1"/>
  <c r="AB31" i="16"/>
  <c r="T31" i="16"/>
  <c r="M31" i="16"/>
  <c r="L31" i="16"/>
  <c r="N31" i="16" s="1"/>
  <c r="E31" i="16"/>
  <c r="D31" i="16"/>
  <c r="AR30" i="16"/>
  <c r="AJ30" i="16"/>
  <c r="AB30" i="16"/>
  <c r="AC30" i="16" s="1"/>
  <c r="AD30" i="16" s="1"/>
  <c r="T30" i="16"/>
  <c r="L30" i="16"/>
  <c r="D30" i="16"/>
  <c r="AR29" i="16"/>
  <c r="AJ29" i="16"/>
  <c r="AB29" i="16"/>
  <c r="T29" i="16"/>
  <c r="L29" i="16"/>
  <c r="D29" i="16"/>
  <c r="AS28" i="16"/>
  <c r="AR28" i="16"/>
  <c r="AT28" i="16" s="1"/>
  <c r="AK28" i="16"/>
  <c r="AJ28" i="16"/>
  <c r="AL28" i="16" s="1"/>
  <c r="AN28" i="16" s="1"/>
  <c r="AB28" i="16"/>
  <c r="T28" i="16"/>
  <c r="L28" i="16"/>
  <c r="E28" i="16"/>
  <c r="F28" i="16" s="1"/>
  <c r="D28" i="16"/>
  <c r="AR27" i="16"/>
  <c r="AJ27" i="16"/>
  <c r="AB27" i="16"/>
  <c r="T27" i="16"/>
  <c r="U27" i="16" s="1"/>
  <c r="V27" i="16" s="1"/>
  <c r="L27" i="16"/>
  <c r="D27" i="16"/>
  <c r="AR26" i="16"/>
  <c r="AJ26" i="16"/>
  <c r="AB26" i="16"/>
  <c r="U26" i="16"/>
  <c r="V26" i="16" s="1"/>
  <c r="T26" i="16"/>
  <c r="L26" i="16"/>
  <c r="D26" i="16"/>
  <c r="AR25" i="16"/>
  <c r="AJ25" i="16"/>
  <c r="AB25" i="16"/>
  <c r="T25" i="16"/>
  <c r="L25" i="16"/>
  <c r="D25" i="16"/>
  <c r="AR24" i="16"/>
  <c r="AJ24" i="16"/>
  <c r="AB24" i="16"/>
  <c r="T24" i="16"/>
  <c r="L24" i="16"/>
  <c r="D24" i="16"/>
  <c r="AR23" i="16"/>
  <c r="AJ23" i="16"/>
  <c r="AB23" i="16"/>
  <c r="T23" i="16"/>
  <c r="L23" i="16"/>
  <c r="D23" i="16"/>
  <c r="AR22" i="16"/>
  <c r="AJ22" i="16"/>
  <c r="AB22" i="16"/>
  <c r="T22" i="16"/>
  <c r="L22" i="16"/>
  <c r="D22" i="16"/>
  <c r="AR21" i="16"/>
  <c r="AJ21" i="16"/>
  <c r="AB21" i="16"/>
  <c r="T21" i="16"/>
  <c r="L21" i="16"/>
  <c r="D21" i="16"/>
  <c r="AR20" i="16"/>
  <c r="AJ20" i="16"/>
  <c r="AB20" i="16"/>
  <c r="T20" i="16"/>
  <c r="L20" i="16"/>
  <c r="D20" i="16"/>
  <c r="AR19" i="16"/>
  <c r="AJ19" i="16"/>
  <c r="AB19" i="16"/>
  <c r="T19" i="16"/>
  <c r="L19" i="16"/>
  <c r="D19" i="16"/>
  <c r="AR18" i="16"/>
  <c r="AJ18" i="16"/>
  <c r="AB18" i="16"/>
  <c r="T18" i="16"/>
  <c r="L18" i="16"/>
  <c r="D18" i="16"/>
  <c r="AR17" i="16"/>
  <c r="AK17" i="16"/>
  <c r="AL17" i="16" s="1"/>
  <c r="AN17" i="16" s="1"/>
  <c r="AJ17" i="16"/>
  <c r="AB17" i="16"/>
  <c r="T17" i="16"/>
  <c r="L17" i="16"/>
  <c r="D17" i="16"/>
  <c r="AR16" i="16"/>
  <c r="AJ16" i="16"/>
  <c r="AB16" i="16"/>
  <c r="T16" i="16"/>
  <c r="L16" i="16"/>
  <c r="D16" i="16"/>
  <c r="AR15" i="16"/>
  <c r="AJ15" i="16"/>
  <c r="AB15" i="16"/>
  <c r="T15" i="16"/>
  <c r="L15" i="16"/>
  <c r="D15" i="16"/>
  <c r="AR14" i="16"/>
  <c r="AJ14" i="16"/>
  <c r="AB14" i="16"/>
  <c r="T14" i="16"/>
  <c r="L14" i="16"/>
  <c r="D14" i="16"/>
  <c r="AR13" i="16"/>
  <c r="AJ13" i="16"/>
  <c r="AB13" i="16"/>
  <c r="T13" i="16"/>
  <c r="L13" i="16"/>
  <c r="D13" i="16"/>
  <c r="AR12" i="16"/>
  <c r="AJ12" i="16"/>
  <c r="AB12" i="16"/>
  <c r="T12" i="16"/>
  <c r="L12" i="16"/>
  <c r="D12" i="16"/>
  <c r="AR11" i="16"/>
  <c r="AJ11" i="16"/>
  <c r="AB11" i="16"/>
  <c r="T11" i="16"/>
  <c r="L11" i="16"/>
  <c r="D11" i="16"/>
  <c r="AR10" i="16"/>
  <c r="AJ10" i="16"/>
  <c r="AB10" i="16"/>
  <c r="T10" i="16"/>
  <c r="L10" i="16"/>
  <c r="D10" i="16"/>
  <c r="AR9" i="16"/>
  <c r="AJ9" i="16"/>
  <c r="AB9" i="16"/>
  <c r="T9" i="16"/>
  <c r="L9" i="16"/>
  <c r="D9" i="16"/>
  <c r="BI8" i="16"/>
  <c r="AR8" i="16"/>
  <c r="AJ8" i="16"/>
  <c r="AB8" i="16"/>
  <c r="T8" i="16"/>
  <c r="L8" i="16"/>
  <c r="D8" i="16"/>
  <c r="AR7" i="16"/>
  <c r="AJ7" i="16"/>
  <c r="AB7" i="16"/>
  <c r="T7" i="16"/>
  <c r="L7" i="16"/>
  <c r="D7" i="16"/>
  <c r="AR6" i="16"/>
  <c r="AJ6" i="16"/>
  <c r="AB6" i="16"/>
  <c r="T6" i="16"/>
  <c r="L6" i="16"/>
  <c r="D6" i="16"/>
  <c r="AU5" i="16"/>
  <c r="AU6" i="16" s="1"/>
  <c r="AU7" i="16" s="1"/>
  <c r="AU8" i="16" s="1"/>
  <c r="AU9" i="16" s="1"/>
  <c r="AU10" i="16" s="1"/>
  <c r="AU11" i="16" s="1"/>
  <c r="AU12" i="16" s="1"/>
  <c r="AU13" i="16" s="1"/>
  <c r="AU14" i="16" s="1"/>
  <c r="AU15" i="16" s="1"/>
  <c r="AU16" i="16" s="1"/>
  <c r="AU17" i="16" s="1"/>
  <c r="AU18" i="16" s="1"/>
  <c r="AU19" i="16" s="1"/>
  <c r="AU20" i="16" s="1"/>
  <c r="AU21" i="16" s="1"/>
  <c r="AU22" i="16" s="1"/>
  <c r="AU23" i="16" s="1"/>
  <c r="AU24" i="16" s="1"/>
  <c r="AU25" i="16" s="1"/>
  <c r="AU26" i="16" s="1"/>
  <c r="AU27" i="16" s="1"/>
  <c r="AU28" i="16" s="1"/>
  <c r="AU29" i="16" s="1"/>
  <c r="AU30" i="16" s="1"/>
  <c r="AU31" i="16" s="1"/>
  <c r="AU32" i="16" s="1"/>
  <c r="AU33" i="16" s="1"/>
  <c r="AU34" i="16" s="1"/>
  <c r="AR5" i="16"/>
  <c r="AM5" i="16"/>
  <c r="AM6" i="16" s="1"/>
  <c r="AM7" i="16" s="1"/>
  <c r="AM8" i="16" s="1"/>
  <c r="AM9" i="16" s="1"/>
  <c r="AM10" i="16" s="1"/>
  <c r="AM11" i="16" s="1"/>
  <c r="AM12" i="16" s="1"/>
  <c r="AM13" i="16" s="1"/>
  <c r="AM14" i="16" s="1"/>
  <c r="AM15" i="16" s="1"/>
  <c r="AM16" i="16" s="1"/>
  <c r="AM17" i="16" s="1"/>
  <c r="AM18" i="16" s="1"/>
  <c r="AM19" i="16" s="1"/>
  <c r="AM20" i="16" s="1"/>
  <c r="AM21" i="16" s="1"/>
  <c r="AM22" i="16" s="1"/>
  <c r="AM23" i="16" s="1"/>
  <c r="AM24" i="16" s="1"/>
  <c r="AM25" i="16" s="1"/>
  <c r="AM26" i="16" s="1"/>
  <c r="AM27" i="16" s="1"/>
  <c r="AM28" i="16" s="1"/>
  <c r="AM29" i="16" s="1"/>
  <c r="AM30" i="16" s="1"/>
  <c r="AM31" i="16" s="1"/>
  <c r="AM32" i="16" s="1"/>
  <c r="AM33" i="16" s="1"/>
  <c r="AM34" i="16" s="1"/>
  <c r="AJ5" i="16"/>
  <c r="AE5" i="16"/>
  <c r="AE6" i="16" s="1"/>
  <c r="AE7" i="16" s="1"/>
  <c r="AE8" i="16" s="1"/>
  <c r="AE9" i="16" s="1"/>
  <c r="AE10" i="16" s="1"/>
  <c r="AE11" i="16" s="1"/>
  <c r="AE12" i="16" s="1"/>
  <c r="AE13" i="16" s="1"/>
  <c r="AE14" i="16" s="1"/>
  <c r="AE15" i="16" s="1"/>
  <c r="AE16" i="16" s="1"/>
  <c r="AE17" i="16" s="1"/>
  <c r="AE18" i="16" s="1"/>
  <c r="AE19" i="16" s="1"/>
  <c r="AE20" i="16" s="1"/>
  <c r="AE21" i="16" s="1"/>
  <c r="AE22" i="16" s="1"/>
  <c r="AE23" i="16" s="1"/>
  <c r="AE24" i="16" s="1"/>
  <c r="AE25" i="16" s="1"/>
  <c r="AE26" i="16" s="1"/>
  <c r="AE27" i="16" s="1"/>
  <c r="AE28" i="16" s="1"/>
  <c r="AE29" i="16" s="1"/>
  <c r="AE30" i="16" s="1"/>
  <c r="AE31" i="16" s="1"/>
  <c r="AE32" i="16" s="1"/>
  <c r="AE33" i="16" s="1"/>
  <c r="AE34" i="16" s="1"/>
  <c r="AB5" i="16"/>
  <c r="W5" i="16"/>
  <c r="W6" i="16" s="1"/>
  <c r="W7" i="16" s="1"/>
  <c r="W8" i="16" s="1"/>
  <c r="W9" i="16" s="1"/>
  <c r="W10" i="16" s="1"/>
  <c r="W11" i="16" s="1"/>
  <c r="W12" i="16" s="1"/>
  <c r="W13" i="16" s="1"/>
  <c r="W14" i="16" s="1"/>
  <c r="W15" i="16" s="1"/>
  <c r="W16" i="16" s="1"/>
  <c r="W17" i="16" s="1"/>
  <c r="W18" i="16" s="1"/>
  <c r="W19" i="16" s="1"/>
  <c r="W20" i="16" s="1"/>
  <c r="W21" i="16" s="1"/>
  <c r="W22" i="16" s="1"/>
  <c r="W23" i="16" s="1"/>
  <c r="W24" i="16" s="1"/>
  <c r="W25" i="16" s="1"/>
  <c r="W26" i="16" s="1"/>
  <c r="W27" i="16" s="1"/>
  <c r="W28" i="16" s="1"/>
  <c r="W29" i="16" s="1"/>
  <c r="W30" i="16" s="1"/>
  <c r="W31" i="16" s="1"/>
  <c r="W32" i="16" s="1"/>
  <c r="W33" i="16" s="1"/>
  <c r="W34" i="16" s="1"/>
  <c r="T5" i="16"/>
  <c r="O5" i="16"/>
  <c r="O6" i="16" s="1"/>
  <c r="O7" i="16" s="1"/>
  <c r="O8" i="16" s="1"/>
  <c r="O9" i="16" s="1"/>
  <c r="O10" i="16" s="1"/>
  <c r="O11" i="16" s="1"/>
  <c r="O12" i="16" s="1"/>
  <c r="O13" i="16" s="1"/>
  <c r="O14" i="16" s="1"/>
  <c r="O15" i="16" s="1"/>
  <c r="O16" i="16" s="1"/>
  <c r="O17" i="16" s="1"/>
  <c r="O18" i="16" s="1"/>
  <c r="O19" i="16" s="1"/>
  <c r="O20" i="16" s="1"/>
  <c r="O21" i="16" s="1"/>
  <c r="O22" i="16" s="1"/>
  <c r="O23" i="16" s="1"/>
  <c r="O24" i="16" s="1"/>
  <c r="O25" i="16" s="1"/>
  <c r="O26" i="16" s="1"/>
  <c r="O27" i="16" s="1"/>
  <c r="O28" i="16" s="1"/>
  <c r="O29" i="16" s="1"/>
  <c r="O30" i="16" s="1"/>
  <c r="O31" i="16" s="1"/>
  <c r="O32" i="16" s="1"/>
  <c r="O33" i="16" s="1"/>
  <c r="O34" i="16" s="1"/>
  <c r="L5" i="16"/>
  <c r="G5" i="16"/>
  <c r="D5" i="16"/>
  <c r="BH4" i="16"/>
  <c r="AY4" i="16"/>
  <c r="AR4" i="16"/>
  <c r="AJ4" i="16"/>
  <c r="AB4" i="16"/>
  <c r="AD4" i="16" s="1"/>
  <c r="AF4" i="16" s="1"/>
  <c r="T4" i="16"/>
  <c r="L4" i="16"/>
  <c r="D4" i="16"/>
  <c r="BA8" i="15"/>
  <c r="BA9" i="15"/>
  <c r="BA10" i="15"/>
  <c r="BA11" i="15"/>
  <c r="BA12" i="15"/>
  <c r="BA13" i="15"/>
  <c r="BA14" i="15"/>
  <c r="BA15" i="15"/>
  <c r="BA16" i="15"/>
  <c r="BA17" i="15"/>
  <c r="BA18" i="15"/>
  <c r="BA19" i="15"/>
  <c r="BA20" i="15"/>
  <c r="BA21" i="15"/>
  <c r="BA22" i="15"/>
  <c r="BA23" i="15"/>
  <c r="BA24" i="15"/>
  <c r="BA25" i="15"/>
  <c r="BA26" i="15"/>
  <c r="BA27" i="15"/>
  <c r="BA28" i="15"/>
  <c r="BA29" i="15"/>
  <c r="BA30" i="15"/>
  <c r="BA31" i="15"/>
  <c r="BA32" i="15"/>
  <c r="BA33" i="15"/>
  <c r="BA34" i="15"/>
  <c r="BA35" i="15"/>
  <c r="BA36" i="15"/>
  <c r="BA37" i="15"/>
  <c r="BA7" i="15"/>
  <c r="AR37" i="15"/>
  <c r="AJ37" i="15"/>
  <c r="AB37" i="15"/>
  <c r="T37" i="15"/>
  <c r="L37" i="15"/>
  <c r="D37" i="15"/>
  <c r="AR36" i="15"/>
  <c r="AJ36" i="15"/>
  <c r="AB36" i="15"/>
  <c r="T36" i="15"/>
  <c r="L36" i="15"/>
  <c r="D36" i="15"/>
  <c r="AR35" i="15"/>
  <c r="AJ35" i="15"/>
  <c r="AB35" i="15"/>
  <c r="T35" i="15"/>
  <c r="L35" i="15"/>
  <c r="D35" i="15"/>
  <c r="AR34" i="15"/>
  <c r="AJ34" i="15"/>
  <c r="AB34" i="15"/>
  <c r="T34" i="15"/>
  <c r="L34" i="15"/>
  <c r="D34" i="15"/>
  <c r="AR33" i="15"/>
  <c r="AJ33" i="15"/>
  <c r="AB33" i="15"/>
  <c r="T33" i="15"/>
  <c r="L33" i="15"/>
  <c r="D33" i="15"/>
  <c r="AR32" i="15"/>
  <c r="AJ32" i="15"/>
  <c r="AB32" i="15"/>
  <c r="T32" i="15"/>
  <c r="L32" i="15"/>
  <c r="D32" i="15"/>
  <c r="AR31" i="15"/>
  <c r="AJ31" i="15"/>
  <c r="AB31" i="15"/>
  <c r="T31" i="15"/>
  <c r="L31" i="15"/>
  <c r="D31" i="15"/>
  <c r="AR30" i="15"/>
  <c r="AJ30" i="15"/>
  <c r="AB30" i="15"/>
  <c r="T30" i="15"/>
  <c r="L30" i="15"/>
  <c r="D30" i="15"/>
  <c r="AR29" i="15"/>
  <c r="AJ29" i="15"/>
  <c r="AB29" i="15"/>
  <c r="T29" i="15"/>
  <c r="L29" i="15"/>
  <c r="D29" i="15"/>
  <c r="AR28" i="15"/>
  <c r="AJ28" i="15"/>
  <c r="AB28" i="15"/>
  <c r="T28" i="15"/>
  <c r="L28" i="15"/>
  <c r="D28" i="15"/>
  <c r="AR27" i="15"/>
  <c r="AJ27" i="15"/>
  <c r="AB27" i="15"/>
  <c r="T27" i="15"/>
  <c r="L27" i="15"/>
  <c r="D27" i="15"/>
  <c r="AR26" i="15"/>
  <c r="AJ26" i="15"/>
  <c r="AB26" i="15"/>
  <c r="T26" i="15"/>
  <c r="L26" i="15"/>
  <c r="D26" i="15"/>
  <c r="AR25" i="15"/>
  <c r="AJ25" i="15"/>
  <c r="AB25" i="15"/>
  <c r="T25" i="15"/>
  <c r="L25" i="15"/>
  <c r="D25" i="15"/>
  <c r="AR24" i="15"/>
  <c r="AJ24" i="15"/>
  <c r="AB24" i="15"/>
  <c r="T24" i="15"/>
  <c r="L24" i="15"/>
  <c r="D24" i="15"/>
  <c r="AR23" i="15"/>
  <c r="AJ23" i="15"/>
  <c r="AB23" i="15"/>
  <c r="T23" i="15"/>
  <c r="L23" i="15"/>
  <c r="D23" i="15"/>
  <c r="AR22" i="15"/>
  <c r="AJ22" i="15"/>
  <c r="AB22" i="15"/>
  <c r="T22" i="15"/>
  <c r="L22" i="15"/>
  <c r="D22" i="15"/>
  <c r="AR21" i="15"/>
  <c r="AJ21" i="15"/>
  <c r="AB21" i="15"/>
  <c r="T21" i="15"/>
  <c r="L21" i="15"/>
  <c r="D21" i="15"/>
  <c r="AR20" i="15"/>
  <c r="AJ20" i="15"/>
  <c r="AB20" i="15"/>
  <c r="T20" i="15"/>
  <c r="L20" i="15"/>
  <c r="D20" i="15"/>
  <c r="AR19" i="15"/>
  <c r="AJ19" i="15"/>
  <c r="AB19" i="15"/>
  <c r="T19" i="15"/>
  <c r="L19" i="15"/>
  <c r="D19" i="15"/>
  <c r="AR18" i="15"/>
  <c r="AJ18" i="15"/>
  <c r="AB18" i="15"/>
  <c r="T18" i="15"/>
  <c r="L18" i="15"/>
  <c r="D18" i="15"/>
  <c r="AR17" i="15"/>
  <c r="AJ17" i="15"/>
  <c r="AB17" i="15"/>
  <c r="T17" i="15"/>
  <c r="L17" i="15"/>
  <c r="D17" i="15"/>
  <c r="AR16" i="15"/>
  <c r="AJ16" i="15"/>
  <c r="AB16" i="15"/>
  <c r="T16" i="15"/>
  <c r="L16" i="15"/>
  <c r="D16" i="15"/>
  <c r="AR15" i="15"/>
  <c r="AJ15" i="15"/>
  <c r="AB15" i="15"/>
  <c r="T15" i="15"/>
  <c r="L15" i="15"/>
  <c r="D15" i="15"/>
  <c r="AR14" i="15"/>
  <c r="AJ14" i="15"/>
  <c r="AB14" i="15"/>
  <c r="T14" i="15"/>
  <c r="L14" i="15"/>
  <c r="D14" i="15"/>
  <c r="AR13" i="15"/>
  <c r="AJ13" i="15"/>
  <c r="AB13" i="15"/>
  <c r="T13" i="15"/>
  <c r="L13" i="15"/>
  <c r="D13" i="15"/>
  <c r="AR12" i="15"/>
  <c r="AJ12" i="15"/>
  <c r="AB12" i="15"/>
  <c r="T12" i="15"/>
  <c r="L12" i="15"/>
  <c r="D12" i="15"/>
  <c r="AR11" i="15"/>
  <c r="AJ11" i="15"/>
  <c r="AB11" i="15"/>
  <c r="U11" i="15"/>
  <c r="T11" i="15"/>
  <c r="V11" i="15" s="1"/>
  <c r="L11" i="15"/>
  <c r="D11" i="15"/>
  <c r="AR10" i="15"/>
  <c r="AJ10" i="15"/>
  <c r="AB10" i="15"/>
  <c r="T10" i="15"/>
  <c r="L10" i="15"/>
  <c r="D10" i="15"/>
  <c r="AR9" i="15"/>
  <c r="AJ9" i="15"/>
  <c r="AB9" i="15"/>
  <c r="T9" i="15"/>
  <c r="L9" i="15"/>
  <c r="G9" i="15"/>
  <c r="D9" i="15"/>
  <c r="AU8" i="15"/>
  <c r="AU9" i="15" s="1"/>
  <c r="AU10" i="15" s="1"/>
  <c r="AU11" i="15" s="1"/>
  <c r="AU12" i="15" s="1"/>
  <c r="AU13" i="15" s="1"/>
  <c r="AU14" i="15" s="1"/>
  <c r="AU15" i="15" s="1"/>
  <c r="AU16" i="15" s="1"/>
  <c r="AU17" i="15" s="1"/>
  <c r="AU18" i="15" s="1"/>
  <c r="AU19" i="15" s="1"/>
  <c r="AU20" i="15" s="1"/>
  <c r="AU21" i="15" s="1"/>
  <c r="AU22" i="15" s="1"/>
  <c r="AU23" i="15" s="1"/>
  <c r="AU24" i="15" s="1"/>
  <c r="AU25" i="15" s="1"/>
  <c r="AU26" i="15" s="1"/>
  <c r="AU27" i="15" s="1"/>
  <c r="AU28" i="15" s="1"/>
  <c r="AU29" i="15" s="1"/>
  <c r="AU30" i="15" s="1"/>
  <c r="AU31" i="15" s="1"/>
  <c r="AU32" i="15" s="1"/>
  <c r="AU33" i="15" s="1"/>
  <c r="AU34" i="15" s="1"/>
  <c r="AU35" i="15" s="1"/>
  <c r="AU36" i="15" s="1"/>
  <c r="AU37" i="15" s="1"/>
  <c r="AS8" i="15"/>
  <c r="AR8" i="15"/>
  <c r="AT8" i="15" s="1"/>
  <c r="AV8" i="15" s="1"/>
  <c r="AM8" i="15"/>
  <c r="AM9" i="15" s="1"/>
  <c r="AM10" i="15" s="1"/>
  <c r="AM11" i="15" s="1"/>
  <c r="AM12" i="15" s="1"/>
  <c r="AM13" i="15" s="1"/>
  <c r="AM14" i="15" s="1"/>
  <c r="AM15" i="15" s="1"/>
  <c r="AM16" i="15" s="1"/>
  <c r="AM17" i="15" s="1"/>
  <c r="AM18" i="15" s="1"/>
  <c r="AM19" i="15" s="1"/>
  <c r="AM20" i="15" s="1"/>
  <c r="AM21" i="15" s="1"/>
  <c r="AM22" i="15" s="1"/>
  <c r="AM23" i="15" s="1"/>
  <c r="AM24" i="15" s="1"/>
  <c r="AM25" i="15" s="1"/>
  <c r="AM26" i="15" s="1"/>
  <c r="AM27" i="15" s="1"/>
  <c r="AM28" i="15" s="1"/>
  <c r="AM29" i="15" s="1"/>
  <c r="AM30" i="15" s="1"/>
  <c r="AM31" i="15" s="1"/>
  <c r="AM32" i="15" s="1"/>
  <c r="AM33" i="15" s="1"/>
  <c r="AM34" i="15" s="1"/>
  <c r="AM35" i="15" s="1"/>
  <c r="AM36" i="15" s="1"/>
  <c r="AM37" i="15" s="1"/>
  <c r="AJ8" i="15"/>
  <c r="AE8" i="15"/>
  <c r="AE9" i="15" s="1"/>
  <c r="AE10" i="15" s="1"/>
  <c r="AE11" i="15" s="1"/>
  <c r="AE12" i="15" s="1"/>
  <c r="AE13" i="15" s="1"/>
  <c r="AE14" i="15" s="1"/>
  <c r="AE15" i="15" s="1"/>
  <c r="AE16" i="15" s="1"/>
  <c r="AE17" i="15" s="1"/>
  <c r="AE18" i="15" s="1"/>
  <c r="AE19" i="15" s="1"/>
  <c r="AE20" i="15" s="1"/>
  <c r="AE21" i="15" s="1"/>
  <c r="AE22" i="15" s="1"/>
  <c r="AE23" i="15" s="1"/>
  <c r="AE24" i="15" s="1"/>
  <c r="AE25" i="15" s="1"/>
  <c r="AE26" i="15" s="1"/>
  <c r="AE27" i="15" s="1"/>
  <c r="AE28" i="15" s="1"/>
  <c r="AE29" i="15" s="1"/>
  <c r="AE30" i="15" s="1"/>
  <c r="AE31" i="15" s="1"/>
  <c r="AE32" i="15" s="1"/>
  <c r="AE33" i="15" s="1"/>
  <c r="AE34" i="15" s="1"/>
  <c r="AE35" i="15" s="1"/>
  <c r="AE36" i="15" s="1"/>
  <c r="AE37" i="15" s="1"/>
  <c r="AB8" i="15"/>
  <c r="W8" i="15"/>
  <c r="W9" i="15" s="1"/>
  <c r="W10" i="15" s="1"/>
  <c r="W11" i="15" s="1"/>
  <c r="W12" i="15" s="1"/>
  <c r="W13" i="15" s="1"/>
  <c r="W14" i="15" s="1"/>
  <c r="W15" i="15" s="1"/>
  <c r="W16" i="15" s="1"/>
  <c r="W17" i="15" s="1"/>
  <c r="W18" i="15" s="1"/>
  <c r="W19" i="15" s="1"/>
  <c r="W20" i="15" s="1"/>
  <c r="W21" i="15" s="1"/>
  <c r="W22" i="15" s="1"/>
  <c r="W23" i="15" s="1"/>
  <c r="W24" i="15" s="1"/>
  <c r="W25" i="15" s="1"/>
  <c r="W26" i="15" s="1"/>
  <c r="W27" i="15" s="1"/>
  <c r="W28" i="15" s="1"/>
  <c r="W29" i="15" s="1"/>
  <c r="W30" i="15" s="1"/>
  <c r="W31" i="15" s="1"/>
  <c r="W32" i="15" s="1"/>
  <c r="W33" i="15" s="1"/>
  <c r="W34" i="15" s="1"/>
  <c r="W35" i="15" s="1"/>
  <c r="W36" i="15" s="1"/>
  <c r="W37" i="15" s="1"/>
  <c r="T8" i="15"/>
  <c r="O8" i="15"/>
  <c r="M8" i="15"/>
  <c r="N8" i="15" s="1"/>
  <c r="P8" i="15" s="1"/>
  <c r="L8" i="15"/>
  <c r="G8" i="15"/>
  <c r="D8" i="15"/>
  <c r="BH7" i="15"/>
  <c r="AY7" i="15"/>
  <c r="AR7" i="15"/>
  <c r="AT7" i="15" s="1"/>
  <c r="AV7" i="15" s="1"/>
  <c r="AJ7" i="15"/>
  <c r="AB7" i="15"/>
  <c r="T7" i="15"/>
  <c r="L7" i="15"/>
  <c r="D7" i="15"/>
  <c r="BI9" i="13"/>
  <c r="AJ34" i="14"/>
  <c r="AB34" i="14"/>
  <c r="T34" i="14"/>
  <c r="L34" i="14"/>
  <c r="D34" i="14"/>
  <c r="AJ33" i="14"/>
  <c r="AB33" i="14"/>
  <c r="AC33" i="14" s="1"/>
  <c r="AD33" i="14" s="1"/>
  <c r="T33" i="14"/>
  <c r="L33" i="14"/>
  <c r="M33" i="14" s="1"/>
  <c r="N33" i="14" s="1"/>
  <c r="D33" i="14"/>
  <c r="BB33" i="14" s="1"/>
  <c r="AK32" i="14"/>
  <c r="AJ32" i="14"/>
  <c r="AB32" i="14"/>
  <c r="AC32" i="14" s="1"/>
  <c r="AD32" i="14" s="1"/>
  <c r="T32" i="14"/>
  <c r="U32" i="14" s="1"/>
  <c r="V32" i="14" s="1"/>
  <c r="L32" i="14"/>
  <c r="E32" i="14"/>
  <c r="D32" i="14"/>
  <c r="AK31" i="14"/>
  <c r="AL31" i="14" s="1"/>
  <c r="AJ31" i="14"/>
  <c r="AB31" i="14"/>
  <c r="T31" i="14"/>
  <c r="M31" i="14"/>
  <c r="L31" i="14"/>
  <c r="D31" i="14"/>
  <c r="AJ30" i="14"/>
  <c r="AK30" i="14" s="1"/>
  <c r="AL30" i="14" s="1"/>
  <c r="AB30" i="14"/>
  <c r="AC30" i="14" s="1"/>
  <c r="AD30" i="14" s="1"/>
  <c r="U30" i="14"/>
  <c r="T30" i="14"/>
  <c r="L30" i="14"/>
  <c r="D30" i="14"/>
  <c r="AJ29" i="14"/>
  <c r="AB29" i="14"/>
  <c r="AC29" i="14" s="1"/>
  <c r="AD29" i="14" s="1"/>
  <c r="U29" i="14"/>
  <c r="T29" i="14"/>
  <c r="L29" i="14"/>
  <c r="D29" i="14"/>
  <c r="AJ28" i="14"/>
  <c r="AK28" i="14" s="1"/>
  <c r="AL28" i="14" s="1"/>
  <c r="AB28" i="14"/>
  <c r="AC28" i="14" s="1"/>
  <c r="AD28" i="14" s="1"/>
  <c r="T28" i="14"/>
  <c r="U28" i="14" s="1"/>
  <c r="V28" i="14" s="1"/>
  <c r="L28" i="14"/>
  <c r="M28" i="14" s="1"/>
  <c r="N28" i="14" s="1"/>
  <c r="D28" i="14"/>
  <c r="BB28" i="14" s="1"/>
  <c r="AJ27" i="14"/>
  <c r="AB27" i="14"/>
  <c r="AC27" i="14" s="1"/>
  <c r="AD27" i="14" s="1"/>
  <c r="T27" i="14"/>
  <c r="L27" i="14"/>
  <c r="M27" i="14" s="1"/>
  <c r="N27" i="14" s="1"/>
  <c r="D27" i="14"/>
  <c r="AJ26" i="14"/>
  <c r="AB26" i="14"/>
  <c r="U26" i="14"/>
  <c r="V26" i="14" s="1"/>
  <c r="T26" i="14"/>
  <c r="L26" i="14"/>
  <c r="M26" i="14" s="1"/>
  <c r="N26" i="14" s="1"/>
  <c r="D26" i="14"/>
  <c r="AK25" i="14"/>
  <c r="AL25" i="14" s="1"/>
  <c r="AJ25" i="14"/>
  <c r="AC25" i="14"/>
  <c r="AB25" i="14"/>
  <c r="T25" i="14"/>
  <c r="L25" i="14"/>
  <c r="D25" i="14"/>
  <c r="AJ24" i="14"/>
  <c r="AK24" i="14" s="1"/>
  <c r="AC24" i="14"/>
  <c r="AD24" i="14" s="1"/>
  <c r="AB24" i="14"/>
  <c r="T24" i="14"/>
  <c r="L24" i="14"/>
  <c r="E24" i="14"/>
  <c r="D24" i="14"/>
  <c r="F24" i="14" s="1"/>
  <c r="AJ23" i="14"/>
  <c r="AB23" i="14"/>
  <c r="T23" i="14"/>
  <c r="M23" i="14"/>
  <c r="L23" i="14"/>
  <c r="N23" i="14" s="1"/>
  <c r="D23" i="14"/>
  <c r="AJ22" i="14"/>
  <c r="AK22" i="14" s="1"/>
  <c r="AL22" i="14" s="1"/>
  <c r="AB22" i="14"/>
  <c r="T22" i="14"/>
  <c r="M22" i="14"/>
  <c r="N22" i="14" s="1"/>
  <c r="L22" i="14"/>
  <c r="F22" i="14"/>
  <c r="E22" i="14"/>
  <c r="D22" i="14"/>
  <c r="AJ21" i="14"/>
  <c r="AB21" i="14"/>
  <c r="AC21" i="14" s="1"/>
  <c r="AD21" i="14" s="1"/>
  <c r="T21" i="14"/>
  <c r="L21" i="14"/>
  <c r="D21" i="14"/>
  <c r="E21" i="14" s="1"/>
  <c r="F21" i="14" s="1"/>
  <c r="AK20" i="14"/>
  <c r="AL20" i="14" s="1"/>
  <c r="AJ20" i="14"/>
  <c r="AB20" i="14"/>
  <c r="T20" i="14"/>
  <c r="U20" i="14" s="1"/>
  <c r="L20" i="14"/>
  <c r="D20" i="14"/>
  <c r="E20" i="14" s="1"/>
  <c r="AJ19" i="14"/>
  <c r="AB19" i="14"/>
  <c r="AC19" i="14" s="1"/>
  <c r="AD19" i="14" s="1"/>
  <c r="T19" i="14"/>
  <c r="U19" i="14" s="1"/>
  <c r="V19" i="14" s="1"/>
  <c r="L19" i="14"/>
  <c r="M19" i="14" s="1"/>
  <c r="N19" i="14" s="1"/>
  <c r="D19" i="14"/>
  <c r="AJ18" i="14"/>
  <c r="AB18" i="14"/>
  <c r="T18" i="14"/>
  <c r="L18" i="14"/>
  <c r="M18" i="14" s="1"/>
  <c r="N18" i="14" s="1"/>
  <c r="D18" i="14"/>
  <c r="AK17" i="14"/>
  <c r="AL17" i="14" s="1"/>
  <c r="AJ17" i="14"/>
  <c r="AC17" i="14"/>
  <c r="AB17" i="14"/>
  <c r="T17" i="14"/>
  <c r="L17" i="14"/>
  <c r="D17" i="14"/>
  <c r="AJ16" i="14"/>
  <c r="AC16" i="14"/>
  <c r="AD16" i="14" s="1"/>
  <c r="AB16" i="14"/>
  <c r="T16" i="14"/>
  <c r="L16" i="14"/>
  <c r="D16" i="14"/>
  <c r="AJ15" i="14"/>
  <c r="AK15" i="14" s="1"/>
  <c r="AB15" i="14"/>
  <c r="U15" i="14"/>
  <c r="V15" i="14" s="1"/>
  <c r="T15" i="14"/>
  <c r="L15" i="14"/>
  <c r="D15" i="14"/>
  <c r="AJ14" i="14"/>
  <c r="AK14" i="14" s="1"/>
  <c r="AB14" i="14"/>
  <c r="AC14" i="14" s="1"/>
  <c r="AD14" i="14" s="1"/>
  <c r="V14" i="14"/>
  <c r="T14" i="14"/>
  <c r="U14" i="14" s="1"/>
  <c r="L14" i="14"/>
  <c r="D14" i="14"/>
  <c r="BB14" i="14" s="1"/>
  <c r="AJ13" i="14"/>
  <c r="AC13" i="14"/>
  <c r="AB13" i="14"/>
  <c r="AD13" i="14" s="1"/>
  <c r="T13" i="14"/>
  <c r="U13" i="14" s="1"/>
  <c r="V13" i="14" s="1"/>
  <c r="L13" i="14"/>
  <c r="D13" i="14"/>
  <c r="AJ12" i="14"/>
  <c r="AK12" i="14" s="1"/>
  <c r="AC12" i="14"/>
  <c r="AD12" i="14" s="1"/>
  <c r="AB12" i="14"/>
  <c r="T12" i="14"/>
  <c r="L12" i="14"/>
  <c r="D12" i="14"/>
  <c r="E12" i="14" s="1"/>
  <c r="AJ11" i="14"/>
  <c r="AC11" i="14"/>
  <c r="AD11" i="14" s="1"/>
  <c r="AB11" i="14"/>
  <c r="T11" i="14"/>
  <c r="U11" i="14" s="1"/>
  <c r="V11" i="14" s="1"/>
  <c r="L11" i="14"/>
  <c r="D11" i="14"/>
  <c r="E11" i="14" s="1"/>
  <c r="F11" i="14" s="1"/>
  <c r="AK10" i="14"/>
  <c r="AL10" i="14" s="1"/>
  <c r="AJ10" i="14"/>
  <c r="AD10" i="14"/>
  <c r="AC10" i="14"/>
  <c r="AB10" i="14"/>
  <c r="T10" i="14"/>
  <c r="U10" i="14" s="1"/>
  <c r="L10" i="14"/>
  <c r="M10" i="14" s="1"/>
  <c r="N10" i="14" s="1"/>
  <c r="D10" i="14"/>
  <c r="AJ9" i="14"/>
  <c r="AC9" i="14"/>
  <c r="AD9" i="14" s="1"/>
  <c r="AB9" i="14"/>
  <c r="U9" i="14"/>
  <c r="T9" i="14"/>
  <c r="L9" i="14"/>
  <c r="M9" i="14" s="1"/>
  <c r="D9" i="14"/>
  <c r="BB9" i="14" s="1"/>
  <c r="AJ8" i="14"/>
  <c r="AB8" i="14"/>
  <c r="U8" i="14"/>
  <c r="V8" i="14" s="1"/>
  <c r="T8" i="14"/>
  <c r="L8" i="14"/>
  <c r="E8" i="14"/>
  <c r="D8" i="14"/>
  <c r="AJ7" i="14"/>
  <c r="AC7" i="14"/>
  <c r="AD7" i="14" s="1"/>
  <c r="AB7" i="14"/>
  <c r="T7" i="14"/>
  <c r="L7" i="14"/>
  <c r="M7" i="14" s="1"/>
  <c r="E7" i="14"/>
  <c r="D7" i="14"/>
  <c r="AM6" i="14"/>
  <c r="AM7" i="14" s="1"/>
  <c r="AM8" i="14" s="1"/>
  <c r="AM9" i="14" s="1"/>
  <c r="AM10" i="14" s="1"/>
  <c r="AM11" i="14" s="1"/>
  <c r="AM12" i="14" s="1"/>
  <c r="AM13" i="14" s="1"/>
  <c r="AM14" i="14" s="1"/>
  <c r="AJ6" i="14"/>
  <c r="AK6" i="14" s="1"/>
  <c r="AL6" i="14" s="1"/>
  <c r="AB6" i="14"/>
  <c r="T6" i="14"/>
  <c r="O6" i="14"/>
  <c r="O7" i="14" s="1"/>
  <c r="O8" i="14" s="1"/>
  <c r="O9" i="14" s="1"/>
  <c r="O10" i="14" s="1"/>
  <c r="O11" i="14" s="1"/>
  <c r="O12" i="14" s="1"/>
  <c r="O13" i="14" s="1"/>
  <c r="O14" i="14" s="1"/>
  <c r="O15" i="14" s="1"/>
  <c r="O16" i="14" s="1"/>
  <c r="O17" i="14" s="1"/>
  <c r="O18" i="14" s="1"/>
  <c r="O19" i="14" s="1"/>
  <c r="O20" i="14" s="1"/>
  <c r="O21" i="14" s="1"/>
  <c r="O22" i="14" s="1"/>
  <c r="O23" i="14" s="1"/>
  <c r="O24" i="14" s="1"/>
  <c r="O25" i="14" s="1"/>
  <c r="L6" i="14"/>
  <c r="D6" i="14"/>
  <c r="BA5" i="14"/>
  <c r="AQ5" i="14"/>
  <c r="AQ6" i="14" s="1"/>
  <c r="AR6" i="14" s="1"/>
  <c r="AM5" i="14"/>
  <c r="AJ5" i="14"/>
  <c r="AE5" i="14"/>
  <c r="AE6" i="14" s="1"/>
  <c r="AE7" i="14" s="1"/>
  <c r="AE8" i="14" s="1"/>
  <c r="AE9" i="14" s="1"/>
  <c r="AE10" i="14" s="1"/>
  <c r="AE11" i="14" s="1"/>
  <c r="AE12" i="14" s="1"/>
  <c r="AE13" i="14" s="1"/>
  <c r="AE14" i="14" s="1"/>
  <c r="AE15" i="14" s="1"/>
  <c r="AE16" i="14" s="1"/>
  <c r="AE17" i="14" s="1"/>
  <c r="AE18" i="14" s="1"/>
  <c r="AE19" i="14" s="1"/>
  <c r="AE20" i="14" s="1"/>
  <c r="AE21" i="14" s="1"/>
  <c r="AE22" i="14" s="1"/>
  <c r="AE23" i="14" s="1"/>
  <c r="AE24" i="14" s="1"/>
  <c r="AE25" i="14" s="1"/>
  <c r="AE26" i="14" s="1"/>
  <c r="AE27" i="14" s="1"/>
  <c r="AB5" i="14"/>
  <c r="AC5" i="14" s="1"/>
  <c r="AD5" i="14" s="1"/>
  <c r="W5" i="14"/>
  <c r="W6" i="14" s="1"/>
  <c r="W7" i="14" s="1"/>
  <c r="W8" i="14" s="1"/>
  <c r="W9" i="14" s="1"/>
  <c r="W10" i="14" s="1"/>
  <c r="W11" i="14" s="1"/>
  <c r="W12" i="14" s="1"/>
  <c r="W13" i="14" s="1"/>
  <c r="W14" i="14" s="1"/>
  <c r="W15" i="14" s="1"/>
  <c r="T5" i="14"/>
  <c r="O5" i="14"/>
  <c r="L5" i="14"/>
  <c r="M5" i="14" s="1"/>
  <c r="N5" i="14" s="1"/>
  <c r="P5" i="14" s="1"/>
  <c r="G5" i="14"/>
  <c r="G6" i="14" s="1"/>
  <c r="E5" i="14"/>
  <c r="D5" i="14"/>
  <c r="BA4" i="14"/>
  <c r="AR4" i="14"/>
  <c r="AJ4" i="14"/>
  <c r="AD4" i="14"/>
  <c r="AF4" i="14" s="1"/>
  <c r="T4" i="14"/>
  <c r="BC4" i="14" s="1"/>
  <c r="M4" i="14"/>
  <c r="L4" i="14"/>
  <c r="F4" i="14"/>
  <c r="H4" i="14" s="1"/>
  <c r="D4" i="14"/>
  <c r="AR34" i="13"/>
  <c r="AJ34" i="13"/>
  <c r="AB34" i="13"/>
  <c r="AC34" i="13" s="1"/>
  <c r="AD34" i="13" s="1"/>
  <c r="T34" i="13"/>
  <c r="L34" i="13"/>
  <c r="D34" i="13"/>
  <c r="BI34" i="13" s="1"/>
  <c r="AR33" i="13"/>
  <c r="AJ33" i="13"/>
  <c r="AB33" i="13"/>
  <c r="AC33" i="13" s="1"/>
  <c r="AD33" i="13" s="1"/>
  <c r="T33" i="13"/>
  <c r="BI33" i="13" s="1"/>
  <c r="L33" i="13"/>
  <c r="D33" i="13"/>
  <c r="AR32" i="13"/>
  <c r="AJ32" i="13"/>
  <c r="AK32" i="13" s="1"/>
  <c r="AB32" i="13"/>
  <c r="AC32" i="13" s="1"/>
  <c r="AD32" i="13" s="1"/>
  <c r="T32" i="13"/>
  <c r="U32" i="13" s="1"/>
  <c r="V32" i="13" s="1"/>
  <c r="L32" i="13"/>
  <c r="D32" i="13"/>
  <c r="AR31" i="13"/>
  <c r="AJ31" i="13"/>
  <c r="AK31" i="13" s="1"/>
  <c r="AB31" i="13"/>
  <c r="AC31" i="13" s="1"/>
  <c r="AD31" i="13" s="1"/>
  <c r="V31" i="13"/>
  <c r="U31" i="13"/>
  <c r="T31" i="13"/>
  <c r="L31" i="13"/>
  <c r="D31" i="13"/>
  <c r="AR30" i="13"/>
  <c r="AK30" i="13"/>
  <c r="AJ30" i="13"/>
  <c r="AB30" i="13"/>
  <c r="AC30" i="13" s="1"/>
  <c r="AD30" i="13" s="1"/>
  <c r="T30" i="13"/>
  <c r="U30" i="13" s="1"/>
  <c r="V30" i="13" s="1"/>
  <c r="L30" i="13"/>
  <c r="D30" i="13"/>
  <c r="E30" i="13" s="1"/>
  <c r="F30" i="13" s="1"/>
  <c r="AR29" i="13"/>
  <c r="AJ29" i="13"/>
  <c r="AB29" i="13"/>
  <c r="AC29" i="13" s="1"/>
  <c r="AD29" i="13" s="1"/>
  <c r="T29" i="13"/>
  <c r="L29" i="13"/>
  <c r="BI29" i="13" s="1"/>
  <c r="E29" i="13"/>
  <c r="F29" i="13" s="1"/>
  <c r="D29" i="13"/>
  <c r="AR28" i="13"/>
  <c r="AS28" i="13" s="1"/>
  <c r="AT28" i="13" s="1"/>
  <c r="AJ28" i="13"/>
  <c r="AK28" i="13" s="1"/>
  <c r="AB28" i="13"/>
  <c r="V28" i="13"/>
  <c r="U28" i="13"/>
  <c r="T28" i="13"/>
  <c r="L28" i="13"/>
  <c r="D28" i="13"/>
  <c r="BI28" i="13" s="1"/>
  <c r="AR27" i="13"/>
  <c r="AS27" i="13" s="1"/>
  <c r="AJ27" i="13"/>
  <c r="AD27" i="13"/>
  <c r="AC27" i="13"/>
  <c r="AB27" i="13"/>
  <c r="T27" i="13"/>
  <c r="L27" i="13"/>
  <c r="D27" i="13"/>
  <c r="E27" i="13" s="1"/>
  <c r="AS26" i="13"/>
  <c r="AT26" i="13" s="1"/>
  <c r="AR26" i="13"/>
  <c r="AJ26" i="13"/>
  <c r="AB26" i="13"/>
  <c r="AC26" i="13" s="1"/>
  <c r="AD26" i="13" s="1"/>
  <c r="T26" i="13"/>
  <c r="L26" i="13"/>
  <c r="D26" i="13"/>
  <c r="BI26" i="13" s="1"/>
  <c r="AR25" i="13"/>
  <c r="AS25" i="13" s="1"/>
  <c r="AT25" i="13" s="1"/>
  <c r="AK25" i="13"/>
  <c r="AJ25" i="13"/>
  <c r="AB25" i="13"/>
  <c r="AC25" i="13" s="1"/>
  <c r="AD25" i="13" s="1"/>
  <c r="T25" i="13"/>
  <c r="U25" i="13" s="1"/>
  <c r="V25" i="13" s="1"/>
  <c r="L25" i="13"/>
  <c r="D25" i="13"/>
  <c r="AR24" i="13"/>
  <c r="AK24" i="13"/>
  <c r="AJ24" i="13"/>
  <c r="AB24" i="13"/>
  <c r="AC24" i="13" s="1"/>
  <c r="AD24" i="13" s="1"/>
  <c r="T24" i="13"/>
  <c r="U24" i="13" s="1"/>
  <c r="L24" i="13"/>
  <c r="BI24" i="13" s="1"/>
  <c r="F24" i="13"/>
  <c r="E24" i="13"/>
  <c r="D24" i="13"/>
  <c r="AR23" i="13"/>
  <c r="AJ23" i="13"/>
  <c r="AK23" i="13" s="1"/>
  <c r="AB23" i="13"/>
  <c r="AC23" i="13" s="1"/>
  <c r="AD23" i="13" s="1"/>
  <c r="V23" i="13"/>
  <c r="U23" i="13"/>
  <c r="T23" i="13"/>
  <c r="L23" i="13"/>
  <c r="D23" i="13"/>
  <c r="AR22" i="13"/>
  <c r="AJ22" i="13"/>
  <c r="AC22" i="13"/>
  <c r="AD22" i="13" s="1"/>
  <c r="AB22" i="13"/>
  <c r="T22" i="13"/>
  <c r="L22" i="13"/>
  <c r="D22" i="13"/>
  <c r="AR21" i="13"/>
  <c r="AS21" i="13" s="1"/>
  <c r="AT21" i="13" s="1"/>
  <c r="AJ21" i="13"/>
  <c r="AB21" i="13"/>
  <c r="T21" i="13"/>
  <c r="L21" i="13"/>
  <c r="BI21" i="13" s="1"/>
  <c r="F21" i="13"/>
  <c r="E21" i="13"/>
  <c r="D21" i="13"/>
  <c r="AR20" i="13"/>
  <c r="AJ20" i="13"/>
  <c r="AK20" i="13" s="1"/>
  <c r="AD20" i="13"/>
  <c r="AC20" i="13"/>
  <c r="AB20" i="13"/>
  <c r="T20" i="13"/>
  <c r="L20" i="13"/>
  <c r="D20" i="13"/>
  <c r="AT19" i="13"/>
  <c r="AS19" i="13"/>
  <c r="AR19" i="13"/>
  <c r="AJ19" i="13"/>
  <c r="AB19" i="13"/>
  <c r="AC19" i="13" s="1"/>
  <c r="AD19" i="13" s="1"/>
  <c r="T19" i="13"/>
  <c r="U19" i="13" s="1"/>
  <c r="N19" i="13"/>
  <c r="L19" i="13"/>
  <c r="M19" i="13" s="1"/>
  <c r="D19" i="13"/>
  <c r="BI19" i="13" s="1"/>
  <c r="AR18" i="13"/>
  <c r="AS18" i="13" s="1"/>
  <c r="AT18" i="13" s="1"/>
  <c r="AJ18" i="13"/>
  <c r="AB18" i="13"/>
  <c r="T18" i="13"/>
  <c r="L18" i="13"/>
  <c r="D18" i="13"/>
  <c r="BI18" i="13" s="1"/>
  <c r="AR17" i="13"/>
  <c r="AS17" i="13" s="1"/>
  <c r="AT17" i="13" s="1"/>
  <c r="AJ17" i="13"/>
  <c r="AB17" i="13"/>
  <c r="U17" i="13"/>
  <c r="T17" i="13"/>
  <c r="L17" i="13"/>
  <c r="D17" i="13"/>
  <c r="AR16" i="13"/>
  <c r="BI16" i="13" s="1"/>
  <c r="AK16" i="13"/>
  <c r="AJ16" i="13"/>
  <c r="AC16" i="13"/>
  <c r="AD16" i="13" s="1"/>
  <c r="AB16" i="13"/>
  <c r="T16" i="13"/>
  <c r="U16" i="13" s="1"/>
  <c r="L16" i="13"/>
  <c r="D16" i="13"/>
  <c r="AR15" i="13"/>
  <c r="AK15" i="13"/>
  <c r="AJ15" i="13"/>
  <c r="AC15" i="13"/>
  <c r="AD15" i="13" s="1"/>
  <c r="AB15" i="13"/>
  <c r="T15" i="13"/>
  <c r="U15" i="13" s="1"/>
  <c r="L15" i="13"/>
  <c r="BI15" i="13" s="1"/>
  <c r="D15" i="13"/>
  <c r="AR14" i="13"/>
  <c r="AJ14" i="13"/>
  <c r="AK14" i="13" s="1"/>
  <c r="AB14" i="13"/>
  <c r="T14" i="13"/>
  <c r="U14" i="13" s="1"/>
  <c r="V14" i="13" s="1"/>
  <c r="L14" i="13"/>
  <c r="D14" i="13"/>
  <c r="AR13" i="13"/>
  <c r="AS13" i="13" s="1"/>
  <c r="AT13" i="13" s="1"/>
  <c r="AK13" i="13"/>
  <c r="AL13" i="13" s="1"/>
  <c r="AJ13" i="13"/>
  <c r="AB13" i="13"/>
  <c r="T13" i="13"/>
  <c r="U13" i="13" s="1"/>
  <c r="L13" i="13"/>
  <c r="BI13" i="13" s="1"/>
  <c r="D13" i="13"/>
  <c r="E13" i="13" s="1"/>
  <c r="AR12" i="13"/>
  <c r="AS12" i="13" s="1"/>
  <c r="AT12" i="13" s="1"/>
  <c r="AJ12" i="13"/>
  <c r="AE12" i="13"/>
  <c r="AE13" i="13" s="1"/>
  <c r="AE14" i="13" s="1"/>
  <c r="AC12" i="13"/>
  <c r="AB12" i="13"/>
  <c r="T12" i="13"/>
  <c r="L12" i="13"/>
  <c r="M12" i="13" s="1"/>
  <c r="N12" i="13" s="1"/>
  <c r="D12" i="13"/>
  <c r="E12" i="13" s="1"/>
  <c r="AR11" i="13"/>
  <c r="AS11" i="13" s="1"/>
  <c r="AJ11" i="13"/>
  <c r="AC11" i="13"/>
  <c r="AB11" i="13"/>
  <c r="T11" i="13"/>
  <c r="U11" i="13" s="1"/>
  <c r="V11" i="13" s="1"/>
  <c r="L11" i="13"/>
  <c r="E11" i="13"/>
  <c r="F11" i="13" s="1"/>
  <c r="D11" i="13"/>
  <c r="BI11" i="13" s="1"/>
  <c r="AR10" i="13"/>
  <c r="AS10" i="13" s="1"/>
  <c r="AT10" i="13" s="1"/>
  <c r="AJ10" i="13"/>
  <c r="AK10" i="13" s="1"/>
  <c r="AL10" i="13" s="1"/>
  <c r="AB10" i="13"/>
  <c r="T10" i="13"/>
  <c r="U10" i="13" s="1"/>
  <c r="L10" i="13"/>
  <c r="M10" i="13" s="1"/>
  <c r="D10" i="13"/>
  <c r="AR9" i="13"/>
  <c r="AS9" i="13" s="1"/>
  <c r="AT9" i="13" s="1"/>
  <c r="AJ9" i="13"/>
  <c r="AK9" i="13" s="1"/>
  <c r="AB9" i="13"/>
  <c r="T9" i="13"/>
  <c r="U9" i="13" s="1"/>
  <c r="V9" i="13" s="1"/>
  <c r="L9" i="13"/>
  <c r="M9" i="13" s="1"/>
  <c r="D9" i="13"/>
  <c r="E9" i="13" s="1"/>
  <c r="AR8" i="13"/>
  <c r="AS8" i="13" s="1"/>
  <c r="AT8" i="13" s="1"/>
  <c r="AJ8" i="13"/>
  <c r="AK8" i="13" s="1"/>
  <c r="AL8" i="13" s="1"/>
  <c r="AB8" i="13"/>
  <c r="T8" i="13"/>
  <c r="L8" i="13"/>
  <c r="D8" i="13"/>
  <c r="BI8" i="13" s="1"/>
  <c r="AS7" i="13"/>
  <c r="AR7" i="13"/>
  <c r="AJ7" i="13"/>
  <c r="AB7" i="13"/>
  <c r="T7" i="13"/>
  <c r="U7" i="13" s="1"/>
  <c r="V7" i="13" s="1"/>
  <c r="L7" i="13"/>
  <c r="BI7" i="13" s="1"/>
  <c r="D7" i="13"/>
  <c r="AR6" i="13"/>
  <c r="AJ6" i="13"/>
  <c r="AK6" i="13" s="1"/>
  <c r="AL6" i="13" s="1"/>
  <c r="AB6" i="13"/>
  <c r="T6" i="13"/>
  <c r="U6" i="13" s="1"/>
  <c r="V6" i="13" s="1"/>
  <c r="L6" i="13"/>
  <c r="D6" i="13"/>
  <c r="BI6" i="13" s="1"/>
  <c r="AX5" i="13"/>
  <c r="AX6" i="13" s="1"/>
  <c r="AX7" i="13" s="1"/>
  <c r="AU5" i="13"/>
  <c r="AU6" i="13" s="1"/>
  <c r="AU7" i="13" s="1"/>
  <c r="AU8" i="13" s="1"/>
  <c r="AU9" i="13" s="1"/>
  <c r="AR5" i="13"/>
  <c r="AM5" i="13"/>
  <c r="AM6" i="13" s="1"/>
  <c r="AM7" i="13" s="1"/>
  <c r="AM8" i="13" s="1"/>
  <c r="AM9" i="13" s="1"/>
  <c r="AM10" i="13" s="1"/>
  <c r="AM11" i="13" s="1"/>
  <c r="AM12" i="13" s="1"/>
  <c r="AM13" i="13" s="1"/>
  <c r="AM14" i="13" s="1"/>
  <c r="AM15" i="13" s="1"/>
  <c r="AM16" i="13" s="1"/>
  <c r="AM17" i="13" s="1"/>
  <c r="AM18" i="13" s="1"/>
  <c r="AM19" i="13" s="1"/>
  <c r="AM20" i="13" s="1"/>
  <c r="AM21" i="13" s="1"/>
  <c r="AM22" i="13" s="1"/>
  <c r="AM23" i="13" s="1"/>
  <c r="AM24" i="13" s="1"/>
  <c r="AM25" i="13" s="1"/>
  <c r="AM26" i="13" s="1"/>
  <c r="AM27" i="13" s="1"/>
  <c r="AM28" i="13" s="1"/>
  <c r="AM29" i="13" s="1"/>
  <c r="AM30" i="13" s="1"/>
  <c r="AM31" i="13" s="1"/>
  <c r="AM32" i="13" s="1"/>
  <c r="AM33" i="13" s="1"/>
  <c r="AM34" i="13" s="1"/>
  <c r="AJ5" i="13"/>
  <c r="AE5" i="13"/>
  <c r="AE6" i="13" s="1"/>
  <c r="AE7" i="13" s="1"/>
  <c r="AE8" i="13" s="1"/>
  <c r="AE9" i="13" s="1"/>
  <c r="AE10" i="13" s="1"/>
  <c r="AE11" i="13" s="1"/>
  <c r="AB5" i="13"/>
  <c r="W5" i="13"/>
  <c r="W6" i="13" s="1"/>
  <c r="T5" i="13"/>
  <c r="U5" i="13" s="1"/>
  <c r="V5" i="13" s="1"/>
  <c r="X5" i="13" s="1"/>
  <c r="O5" i="13"/>
  <c r="L5" i="13"/>
  <c r="G5" i="13"/>
  <c r="G6" i="13" s="1"/>
  <c r="D5" i="13"/>
  <c r="BH4" i="13"/>
  <c r="AY4" i="13"/>
  <c r="AR4" i="13"/>
  <c r="AS4" i="13" s="1"/>
  <c r="AT4" i="13" s="1"/>
  <c r="AV4" i="13" s="1"/>
  <c r="AJ4" i="13"/>
  <c r="AB4" i="13"/>
  <c r="AD4" i="13" s="1"/>
  <c r="AF4" i="13" s="1"/>
  <c r="T4" i="13"/>
  <c r="BJ4" i="13" s="1"/>
  <c r="L4" i="13"/>
  <c r="M4" i="13" s="1"/>
  <c r="N4" i="13" s="1"/>
  <c r="P4" i="13" s="1"/>
  <c r="D4" i="13"/>
  <c r="F4" i="13" s="1"/>
  <c r="H4" i="13" s="1"/>
  <c r="E17" i="9"/>
  <c r="C17" i="9"/>
  <c r="BF16" i="6"/>
  <c r="BI12" i="6"/>
  <c r="AK9" i="6"/>
  <c r="AK10" i="6"/>
  <c r="AK11" i="6"/>
  <c r="AK12" i="6"/>
  <c r="AK13" i="6"/>
  <c r="AK14" i="6"/>
  <c r="AK15" i="6"/>
  <c r="AK16" i="6"/>
  <c r="AK17" i="6"/>
  <c r="AK18" i="6"/>
  <c r="AK19" i="6"/>
  <c r="AK20" i="6"/>
  <c r="AK21" i="6"/>
  <c r="AK22" i="6"/>
  <c r="AK23" i="6"/>
  <c r="AK24" i="6"/>
  <c r="AK25" i="6"/>
  <c r="AK26" i="6"/>
  <c r="AK27" i="6"/>
  <c r="AK28" i="6"/>
  <c r="AK29" i="6"/>
  <c r="AK30" i="6"/>
  <c r="AK31" i="6"/>
  <c r="AK32" i="6"/>
  <c r="AK33" i="6"/>
  <c r="AK34" i="6"/>
  <c r="AK35" i="6"/>
  <c r="AK36" i="6"/>
  <c r="AK37" i="6"/>
  <c r="AK8" i="6"/>
  <c r="AC9" i="6"/>
  <c r="AC10" i="6"/>
  <c r="AC11" i="6"/>
  <c r="AC12" i="6"/>
  <c r="AC13" i="6"/>
  <c r="AC14" i="6"/>
  <c r="AC15" i="6"/>
  <c r="AC16" i="6"/>
  <c r="AC17" i="6"/>
  <c r="AC18" i="6"/>
  <c r="AC19" i="6"/>
  <c r="AC20" i="6"/>
  <c r="AC21" i="6"/>
  <c r="AC22" i="6"/>
  <c r="AC23" i="6"/>
  <c r="AC24" i="6"/>
  <c r="AC25" i="6"/>
  <c r="AC26" i="6"/>
  <c r="AC27" i="6"/>
  <c r="AC28" i="6"/>
  <c r="AC29" i="6"/>
  <c r="AC30" i="6"/>
  <c r="AC31" i="6"/>
  <c r="AC32" i="6"/>
  <c r="AC33" i="6"/>
  <c r="AC34" i="6"/>
  <c r="AC35" i="6"/>
  <c r="AC36" i="6"/>
  <c r="AC37" i="6"/>
  <c r="AC8" i="6"/>
  <c r="U9" i="6"/>
  <c r="U10" i="6"/>
  <c r="U11" i="6"/>
  <c r="U12" i="6"/>
  <c r="U13" i="6"/>
  <c r="U14" i="6"/>
  <c r="U15" i="6"/>
  <c r="U16" i="6"/>
  <c r="U17" i="6"/>
  <c r="U18" i="6"/>
  <c r="U19" i="6"/>
  <c r="U20" i="6"/>
  <c r="U21" i="6"/>
  <c r="U22" i="6"/>
  <c r="U23" i="6"/>
  <c r="U24" i="6"/>
  <c r="U25" i="6"/>
  <c r="U26" i="6"/>
  <c r="U27" i="6"/>
  <c r="U28" i="6"/>
  <c r="U29" i="6"/>
  <c r="U30" i="6"/>
  <c r="U31" i="6"/>
  <c r="U32" i="6"/>
  <c r="U33" i="6"/>
  <c r="U34" i="6"/>
  <c r="U35" i="6"/>
  <c r="U36" i="6"/>
  <c r="U37" i="6"/>
  <c r="U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8" i="6"/>
  <c r="AR8" i="6"/>
  <c r="AR9" i="6"/>
  <c r="AR10" i="6"/>
  <c r="AS10" i="6" s="1"/>
  <c r="AR11" i="6"/>
  <c r="AS11" i="6" s="1"/>
  <c r="AR12" i="6"/>
  <c r="AR13" i="6"/>
  <c r="AR14" i="6"/>
  <c r="AR15" i="6"/>
  <c r="AS15" i="6" s="1"/>
  <c r="AR16" i="6"/>
  <c r="AR17" i="6"/>
  <c r="AR18" i="6"/>
  <c r="AR19" i="6"/>
  <c r="AR20" i="6"/>
  <c r="AR21" i="6"/>
  <c r="AR22" i="6"/>
  <c r="AR23" i="6"/>
  <c r="AS23" i="6" s="1"/>
  <c r="AR24" i="6"/>
  <c r="AR25" i="6"/>
  <c r="AR26" i="6"/>
  <c r="AS26" i="6" s="1"/>
  <c r="AR27" i="6"/>
  <c r="AR28" i="6"/>
  <c r="AS28" i="6" s="1"/>
  <c r="AR29" i="6"/>
  <c r="AS29" i="6" s="1"/>
  <c r="AR30" i="6"/>
  <c r="AS30" i="6" s="1"/>
  <c r="AR31" i="6"/>
  <c r="AR32" i="6"/>
  <c r="AR33" i="6"/>
  <c r="AR34" i="6"/>
  <c r="AS34" i="6" s="1"/>
  <c r="AR35" i="6"/>
  <c r="AR36" i="6"/>
  <c r="AR37" i="6"/>
  <c r="AS37" i="6" s="1"/>
  <c r="AR7" i="6"/>
  <c r="AJ10" i="6"/>
  <c r="AJ11" i="6"/>
  <c r="AJ12" i="6"/>
  <c r="AJ13" i="6"/>
  <c r="AJ14" i="6"/>
  <c r="AJ15" i="6"/>
  <c r="AJ16" i="6"/>
  <c r="AJ17" i="6"/>
  <c r="AJ18" i="6"/>
  <c r="AJ19" i="6"/>
  <c r="AJ20" i="6"/>
  <c r="AJ21" i="6"/>
  <c r="AJ22" i="6"/>
  <c r="AJ23" i="6"/>
  <c r="AJ24" i="6"/>
  <c r="AJ25" i="6"/>
  <c r="AJ26" i="6"/>
  <c r="AJ27" i="6"/>
  <c r="AJ28" i="6"/>
  <c r="AJ29" i="6"/>
  <c r="AJ30" i="6"/>
  <c r="AJ31" i="6"/>
  <c r="AJ32" i="6"/>
  <c r="AJ33" i="6"/>
  <c r="AJ34" i="6"/>
  <c r="AJ35" i="6"/>
  <c r="AJ36" i="6"/>
  <c r="AJ37" i="6"/>
  <c r="AJ9" i="6"/>
  <c r="AJ8" i="6" s="1"/>
  <c r="AJ7" i="6"/>
  <c r="AB8" i="6"/>
  <c r="AB9" i="6"/>
  <c r="AB10" i="6"/>
  <c r="AB11" i="6"/>
  <c r="AB12" i="6"/>
  <c r="AB13" i="6"/>
  <c r="AB14" i="6"/>
  <c r="AB15" i="6"/>
  <c r="AB16" i="6"/>
  <c r="AB17" i="6"/>
  <c r="AB18" i="6"/>
  <c r="AB19" i="6"/>
  <c r="AB20" i="6"/>
  <c r="AB21" i="6"/>
  <c r="AB22" i="6"/>
  <c r="AB23" i="6"/>
  <c r="AB24" i="6"/>
  <c r="AB25" i="6"/>
  <c r="AB26" i="6"/>
  <c r="AB27" i="6"/>
  <c r="AB28" i="6"/>
  <c r="AB29" i="6"/>
  <c r="AB30" i="6"/>
  <c r="AB31" i="6"/>
  <c r="AB32" i="6"/>
  <c r="AB33" i="6"/>
  <c r="AB34" i="6"/>
  <c r="AB35" i="6"/>
  <c r="AB36" i="6"/>
  <c r="AB37" i="6"/>
  <c r="AB7" i="6"/>
  <c r="T8" i="6"/>
  <c r="T9" i="6"/>
  <c r="T10" i="6"/>
  <c r="T11" i="6"/>
  <c r="T12" i="6"/>
  <c r="T13" i="6"/>
  <c r="T14" i="6"/>
  <c r="T15" i="6"/>
  <c r="T16" i="6"/>
  <c r="T17" i="6"/>
  <c r="T18" i="6"/>
  <c r="T19" i="6"/>
  <c r="T20" i="6"/>
  <c r="T21" i="6"/>
  <c r="T22" i="6"/>
  <c r="T23" i="6"/>
  <c r="T24" i="6"/>
  <c r="T25" i="6"/>
  <c r="T26" i="6"/>
  <c r="T27" i="6"/>
  <c r="T28" i="6"/>
  <c r="T29" i="6"/>
  <c r="T30" i="6"/>
  <c r="T31" i="6"/>
  <c r="T32" i="6"/>
  <c r="T33" i="6"/>
  <c r="T34" i="6"/>
  <c r="T35" i="6"/>
  <c r="T36" i="6"/>
  <c r="T37" i="6"/>
  <c r="T7" i="6"/>
  <c r="L37" i="6"/>
  <c r="L36" i="6"/>
  <c r="L35" i="6"/>
  <c r="L34" i="6"/>
  <c r="L33" i="6"/>
  <c r="L32" i="6"/>
  <c r="L31" i="6"/>
  <c r="L30" i="6"/>
  <c r="L29" i="6"/>
  <c r="L28" i="6"/>
  <c r="L27" i="6"/>
  <c r="L26" i="6"/>
  <c r="L25" i="6"/>
  <c r="L24" i="6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L8" i="6"/>
  <c r="L7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10" i="6"/>
  <c r="D9" i="6"/>
  <c r="D8" i="6"/>
  <c r="D7" i="6"/>
  <c r="BH7" i="6"/>
  <c r="AS9" i="6"/>
  <c r="AT9" i="6" s="1"/>
  <c r="AS14" i="6"/>
  <c r="AS17" i="6"/>
  <c r="AT17" i="6" s="1"/>
  <c r="AS21" i="6"/>
  <c r="AS22" i="6"/>
  <c r="AS8" i="6"/>
  <c r="AT8" i="6" s="1"/>
  <c r="AS36" i="6"/>
  <c r="AS35" i="6"/>
  <c r="AT35" i="6" s="1"/>
  <c r="AS32" i="6"/>
  <c r="AT32" i="6" s="1"/>
  <c r="AS24" i="6"/>
  <c r="AT24" i="6" s="1"/>
  <c r="AS20" i="6"/>
  <c r="AS19" i="6"/>
  <c r="AS18" i="6"/>
  <c r="AS16" i="6"/>
  <c r="AT16" i="6" s="1"/>
  <c r="AS13" i="6"/>
  <c r="AU8" i="6"/>
  <c r="AU9" i="6" s="1"/>
  <c r="AT7" i="6"/>
  <c r="AV7" i="6" s="1"/>
  <c r="AK34" i="17" l="1"/>
  <c r="AL34" i="17" s="1"/>
  <c r="AN34" i="17" s="1"/>
  <c r="AC34" i="17"/>
  <c r="AD34" i="17" s="1"/>
  <c r="AF34" i="17" s="1"/>
  <c r="U34" i="17"/>
  <c r="V34" i="17" s="1"/>
  <c r="X34" i="17" s="1"/>
  <c r="M34" i="17"/>
  <c r="N34" i="17" s="1"/>
  <c r="P34" i="17" s="1"/>
  <c r="BB34" i="17"/>
  <c r="E34" i="17"/>
  <c r="F34" i="17"/>
  <c r="AK33" i="17"/>
  <c r="AL33" i="17" s="1"/>
  <c r="AN33" i="17" s="1"/>
  <c r="AC33" i="17"/>
  <c r="AD33" i="17" s="1"/>
  <c r="AF33" i="17" s="1"/>
  <c r="U33" i="17"/>
  <c r="V33" i="17" s="1"/>
  <c r="X33" i="17" s="1"/>
  <c r="M33" i="17"/>
  <c r="N33" i="17" s="1"/>
  <c r="P33" i="17" s="1"/>
  <c r="BB33" i="17"/>
  <c r="E33" i="17"/>
  <c r="F33" i="17" s="1"/>
  <c r="AK32" i="17"/>
  <c r="AL32" i="17" s="1"/>
  <c r="AN32" i="17" s="1"/>
  <c r="AC32" i="17"/>
  <c r="AD32" i="17" s="1"/>
  <c r="AF32" i="17" s="1"/>
  <c r="U32" i="17"/>
  <c r="V32" i="17" s="1"/>
  <c r="X32" i="17" s="1"/>
  <c r="M32" i="17"/>
  <c r="N32" i="17"/>
  <c r="P32" i="17" s="1"/>
  <c r="E32" i="17"/>
  <c r="BB32" i="17"/>
  <c r="F32" i="17"/>
  <c r="AC31" i="17"/>
  <c r="AD31" i="17" s="1"/>
  <c r="AF31" i="17" s="1"/>
  <c r="U31" i="17"/>
  <c r="V31" i="17" s="1"/>
  <c r="X31" i="17" s="1"/>
  <c r="M31" i="17"/>
  <c r="N31" i="17" s="1"/>
  <c r="P31" i="17" s="1"/>
  <c r="E31" i="17"/>
  <c r="F31" i="17"/>
  <c r="BB31" i="17"/>
  <c r="AC30" i="17"/>
  <c r="AD30" i="17" s="1"/>
  <c r="AF30" i="17" s="1"/>
  <c r="M30" i="17"/>
  <c r="N30" i="17"/>
  <c r="P30" i="17" s="1"/>
  <c r="BB30" i="17"/>
  <c r="F30" i="17"/>
  <c r="AC29" i="17"/>
  <c r="AD29" i="17" s="1"/>
  <c r="AF29" i="17" s="1"/>
  <c r="U29" i="17"/>
  <c r="V29" i="17" s="1"/>
  <c r="X29" i="17" s="1"/>
  <c r="M29" i="17"/>
  <c r="N29" i="17" s="1"/>
  <c r="P29" i="17" s="1"/>
  <c r="BB29" i="17"/>
  <c r="E29" i="17"/>
  <c r="F29" i="17" s="1"/>
  <c r="AK28" i="17"/>
  <c r="AL28" i="17" s="1"/>
  <c r="AN28" i="17" s="1"/>
  <c r="AC28" i="17"/>
  <c r="AD28" i="17" s="1"/>
  <c r="AF28" i="17" s="1"/>
  <c r="U28" i="17"/>
  <c r="V28" i="17" s="1"/>
  <c r="X28" i="17" s="1"/>
  <c r="M28" i="17"/>
  <c r="N28" i="17" s="1"/>
  <c r="P28" i="17" s="1"/>
  <c r="BB28" i="17"/>
  <c r="E28" i="17"/>
  <c r="F28" i="17" s="1"/>
  <c r="AK27" i="17"/>
  <c r="AL27" i="17" s="1"/>
  <c r="AN27" i="17" s="1"/>
  <c r="AC27" i="17"/>
  <c r="AD27" i="17" s="1"/>
  <c r="AF27" i="17" s="1"/>
  <c r="U27" i="17"/>
  <c r="V27" i="17" s="1"/>
  <c r="X27" i="17" s="1"/>
  <c r="M27" i="17"/>
  <c r="N27" i="17" s="1"/>
  <c r="P27" i="17" s="1"/>
  <c r="E27" i="17"/>
  <c r="F27" i="17" s="1"/>
  <c r="BB27" i="17"/>
  <c r="AK26" i="17"/>
  <c r="AL26" i="17" s="1"/>
  <c r="AN26" i="17" s="1"/>
  <c r="AC26" i="17"/>
  <c r="AD26" i="17"/>
  <c r="AF26" i="17" s="1"/>
  <c r="M26" i="17"/>
  <c r="N26" i="17" s="1"/>
  <c r="P26" i="17" s="1"/>
  <c r="BB26" i="17"/>
  <c r="E26" i="17"/>
  <c r="F26" i="17" s="1"/>
  <c r="AK25" i="17"/>
  <c r="AL25" i="17" s="1"/>
  <c r="AN25" i="17" s="1"/>
  <c r="AC25" i="17"/>
  <c r="AD25" i="17" s="1"/>
  <c r="AF25" i="17" s="1"/>
  <c r="M25" i="17"/>
  <c r="N25" i="17" s="1"/>
  <c r="P25" i="17" s="1"/>
  <c r="BB25" i="17"/>
  <c r="E25" i="17"/>
  <c r="F25" i="17" s="1"/>
  <c r="AK24" i="17"/>
  <c r="AL24" i="17" s="1"/>
  <c r="AN24" i="17" s="1"/>
  <c r="AC24" i="17"/>
  <c r="AD24" i="17" s="1"/>
  <c r="AF24" i="17" s="1"/>
  <c r="U24" i="17"/>
  <c r="V24" i="17" s="1"/>
  <c r="X24" i="17" s="1"/>
  <c r="M24" i="17"/>
  <c r="N24" i="17" s="1"/>
  <c r="P24" i="17" s="1"/>
  <c r="E24" i="17"/>
  <c r="F24" i="17" s="1"/>
  <c r="BB24" i="17"/>
  <c r="AK23" i="17"/>
  <c r="AL23" i="17" s="1"/>
  <c r="AN23" i="17" s="1"/>
  <c r="AC23" i="17"/>
  <c r="AD23" i="17" s="1"/>
  <c r="AF23" i="17" s="1"/>
  <c r="U23" i="17"/>
  <c r="V23" i="17" s="1"/>
  <c r="X23" i="17" s="1"/>
  <c r="M23" i="17"/>
  <c r="N23" i="17" s="1"/>
  <c r="P23" i="17" s="1"/>
  <c r="E23" i="17"/>
  <c r="F23" i="17" s="1"/>
  <c r="BB23" i="17"/>
  <c r="AK22" i="17"/>
  <c r="AL22" i="17" s="1"/>
  <c r="AN22" i="17" s="1"/>
  <c r="AC22" i="17"/>
  <c r="AD22" i="17" s="1"/>
  <c r="AF22" i="17" s="1"/>
  <c r="U22" i="17"/>
  <c r="V22" i="17" s="1"/>
  <c r="X22" i="17" s="1"/>
  <c r="M22" i="17"/>
  <c r="N22" i="17" s="1"/>
  <c r="P22" i="17" s="1"/>
  <c r="BB22" i="17"/>
  <c r="E22" i="17"/>
  <c r="F22" i="17" s="1"/>
  <c r="AK21" i="17"/>
  <c r="AL21" i="17" s="1"/>
  <c r="AN21" i="17" s="1"/>
  <c r="AC21" i="17"/>
  <c r="AD21" i="17" s="1"/>
  <c r="AF21" i="17" s="1"/>
  <c r="U21" i="17"/>
  <c r="V21" i="17" s="1"/>
  <c r="X21" i="17" s="1"/>
  <c r="M21" i="17"/>
  <c r="N21" i="17" s="1"/>
  <c r="P21" i="17" s="1"/>
  <c r="BB21" i="17"/>
  <c r="E21" i="17"/>
  <c r="F21" i="17" s="1"/>
  <c r="AK20" i="17"/>
  <c r="AL20" i="17" s="1"/>
  <c r="AN20" i="17" s="1"/>
  <c r="AC20" i="17"/>
  <c r="AD20" i="17" s="1"/>
  <c r="AF20" i="17" s="1"/>
  <c r="U20" i="17"/>
  <c r="V20" i="17" s="1"/>
  <c r="X20" i="17" s="1"/>
  <c r="M20" i="17"/>
  <c r="N20" i="17" s="1"/>
  <c r="P20" i="17" s="1"/>
  <c r="E20" i="17"/>
  <c r="F20" i="17" s="1"/>
  <c r="BB20" i="17"/>
  <c r="AK19" i="17"/>
  <c r="AL19" i="17" s="1"/>
  <c r="AN19" i="17" s="1"/>
  <c r="AC19" i="17"/>
  <c r="AD19" i="17" s="1"/>
  <c r="AF19" i="17" s="1"/>
  <c r="U19" i="17"/>
  <c r="V19" i="17" s="1"/>
  <c r="X19" i="17" s="1"/>
  <c r="M19" i="17"/>
  <c r="N19" i="17" s="1"/>
  <c r="P19" i="17" s="1"/>
  <c r="E19" i="17"/>
  <c r="F19" i="17" s="1"/>
  <c r="BB19" i="17"/>
  <c r="AK18" i="17"/>
  <c r="AL18" i="17" s="1"/>
  <c r="AN18" i="17" s="1"/>
  <c r="AC18" i="17"/>
  <c r="AD18" i="17" s="1"/>
  <c r="AF18" i="17" s="1"/>
  <c r="U18" i="17"/>
  <c r="V18" i="17" s="1"/>
  <c r="X18" i="17" s="1"/>
  <c r="M18" i="17"/>
  <c r="N18" i="17" s="1"/>
  <c r="P18" i="17" s="1"/>
  <c r="BB18" i="17"/>
  <c r="E18" i="17"/>
  <c r="F18" i="17" s="1"/>
  <c r="AK17" i="17"/>
  <c r="AL17" i="17" s="1"/>
  <c r="AN17" i="17" s="1"/>
  <c r="AC17" i="17"/>
  <c r="AD17" i="17" s="1"/>
  <c r="AF17" i="17" s="1"/>
  <c r="U17" i="17"/>
  <c r="V17" i="17" s="1"/>
  <c r="X17" i="17" s="1"/>
  <c r="M17" i="17"/>
  <c r="N17" i="17" s="1"/>
  <c r="P17" i="17" s="1"/>
  <c r="BB17" i="17"/>
  <c r="E17" i="17"/>
  <c r="F17" i="17" s="1"/>
  <c r="AK16" i="17"/>
  <c r="AL16" i="17" s="1"/>
  <c r="AN16" i="17" s="1"/>
  <c r="AC16" i="17"/>
  <c r="AD16" i="17" s="1"/>
  <c r="AF16" i="17" s="1"/>
  <c r="U16" i="17"/>
  <c r="V16" i="17"/>
  <c r="X16" i="17" s="1"/>
  <c r="M16" i="17"/>
  <c r="N16" i="17"/>
  <c r="P16" i="17" s="1"/>
  <c r="E16" i="17"/>
  <c r="F16" i="17" s="1"/>
  <c r="BB16" i="17"/>
  <c r="AK15" i="17"/>
  <c r="AL15" i="17" s="1"/>
  <c r="AN15" i="17" s="1"/>
  <c r="AC15" i="17"/>
  <c r="AD15" i="17" s="1"/>
  <c r="AF15" i="17" s="1"/>
  <c r="U15" i="17"/>
  <c r="V15" i="17" s="1"/>
  <c r="X15" i="17" s="1"/>
  <c r="M15" i="17"/>
  <c r="N15" i="17" s="1"/>
  <c r="P15" i="17" s="1"/>
  <c r="BB15" i="17"/>
  <c r="E15" i="17"/>
  <c r="F15" i="17" s="1"/>
  <c r="AK14" i="17"/>
  <c r="AL14" i="17"/>
  <c r="AN14" i="17" s="1"/>
  <c r="AC14" i="17"/>
  <c r="AD14" i="17"/>
  <c r="AF14" i="17" s="1"/>
  <c r="U14" i="17"/>
  <c r="V14" i="17" s="1"/>
  <c r="X14" i="17" s="1"/>
  <c r="M14" i="17"/>
  <c r="N14" i="17"/>
  <c r="P14" i="17" s="1"/>
  <c r="BB14" i="17"/>
  <c r="E14" i="17"/>
  <c r="F14" i="17"/>
  <c r="AK13" i="17"/>
  <c r="AL13" i="17"/>
  <c r="AN13" i="17" s="1"/>
  <c r="AC13" i="17"/>
  <c r="AD13" i="17" s="1"/>
  <c r="AF13" i="17" s="1"/>
  <c r="U13" i="17"/>
  <c r="V13" i="17" s="1"/>
  <c r="X13" i="17" s="1"/>
  <c r="BB13" i="17"/>
  <c r="M13" i="17"/>
  <c r="N13" i="17" s="1"/>
  <c r="P13" i="17" s="1"/>
  <c r="AK12" i="17"/>
  <c r="AL12" i="17" s="1"/>
  <c r="AN12" i="17" s="1"/>
  <c r="AC12" i="17"/>
  <c r="AD12" i="17" s="1"/>
  <c r="AF12" i="17" s="1"/>
  <c r="U12" i="17"/>
  <c r="V12" i="17" s="1"/>
  <c r="X12" i="17" s="1"/>
  <c r="M12" i="17"/>
  <c r="N12" i="17" s="1"/>
  <c r="P12" i="17" s="1"/>
  <c r="BB12" i="17"/>
  <c r="E12" i="17"/>
  <c r="F12" i="17" s="1"/>
  <c r="AK11" i="17"/>
  <c r="AL11" i="17" s="1"/>
  <c r="AN11" i="17" s="1"/>
  <c r="AC11" i="17"/>
  <c r="AD11" i="17"/>
  <c r="AF11" i="17" s="1"/>
  <c r="U11" i="17"/>
  <c r="V11" i="17" s="1"/>
  <c r="X11" i="17" s="1"/>
  <c r="M11" i="17"/>
  <c r="N11" i="17" s="1"/>
  <c r="P11" i="17" s="1"/>
  <c r="BB11" i="17"/>
  <c r="E11" i="17"/>
  <c r="F11" i="17" s="1"/>
  <c r="AK10" i="17"/>
  <c r="AL10" i="17" s="1"/>
  <c r="AN10" i="17" s="1"/>
  <c r="AC10" i="17"/>
  <c r="AD10" i="17" s="1"/>
  <c r="AF10" i="17" s="1"/>
  <c r="U10" i="17"/>
  <c r="V10" i="17" s="1"/>
  <c r="X10" i="17" s="1"/>
  <c r="M10" i="17"/>
  <c r="N10" i="17" s="1"/>
  <c r="P10" i="17" s="1"/>
  <c r="BB10" i="17"/>
  <c r="E10" i="17"/>
  <c r="F10" i="17" s="1"/>
  <c r="AK9" i="17"/>
  <c r="AL9" i="17" s="1"/>
  <c r="AN9" i="17" s="1"/>
  <c r="AC9" i="17"/>
  <c r="AD9" i="17" s="1"/>
  <c r="AF9" i="17" s="1"/>
  <c r="U9" i="17"/>
  <c r="V9" i="17" s="1"/>
  <c r="X9" i="17" s="1"/>
  <c r="M9" i="17"/>
  <c r="N9" i="17" s="1"/>
  <c r="P9" i="17" s="1"/>
  <c r="BB9" i="17"/>
  <c r="E9" i="17"/>
  <c r="F9" i="17" s="1"/>
  <c r="AK8" i="17"/>
  <c r="AL8" i="17" s="1"/>
  <c r="AN8" i="17" s="1"/>
  <c r="AC8" i="17"/>
  <c r="AD8" i="17" s="1"/>
  <c r="AF8" i="17" s="1"/>
  <c r="U8" i="17"/>
  <c r="V8" i="17" s="1"/>
  <c r="X8" i="17" s="1"/>
  <c r="M8" i="17"/>
  <c r="N8" i="17" s="1"/>
  <c r="P8" i="17" s="1"/>
  <c r="BB8" i="17"/>
  <c r="E8" i="17"/>
  <c r="F8" i="17" s="1"/>
  <c r="AK7" i="17"/>
  <c r="AL7" i="17" s="1"/>
  <c r="AN7" i="17" s="1"/>
  <c r="AC7" i="17"/>
  <c r="AD7" i="17" s="1"/>
  <c r="AF7" i="17" s="1"/>
  <c r="U7" i="17"/>
  <c r="V7" i="17" s="1"/>
  <c r="X7" i="17" s="1"/>
  <c r="M7" i="17"/>
  <c r="N7" i="17" s="1"/>
  <c r="P7" i="17" s="1"/>
  <c r="BB7" i="17"/>
  <c r="E7" i="17"/>
  <c r="F7" i="17" s="1"/>
  <c r="AK6" i="17"/>
  <c r="AL6" i="17" s="1"/>
  <c r="AN6" i="17" s="1"/>
  <c r="AC6" i="17"/>
  <c r="AD6" i="17" s="1"/>
  <c r="AF6" i="17" s="1"/>
  <c r="U6" i="17"/>
  <c r="V6" i="17" s="1"/>
  <c r="X6" i="17" s="1"/>
  <c r="M6" i="17"/>
  <c r="N6" i="17" s="1"/>
  <c r="P6" i="17" s="1"/>
  <c r="BB6" i="17"/>
  <c r="E6" i="17"/>
  <c r="F6" i="17" s="1"/>
  <c r="H6" i="17" s="1"/>
  <c r="AS6" i="17" s="1"/>
  <c r="AR5" i="17"/>
  <c r="AK5" i="17"/>
  <c r="AL5" i="17" s="1"/>
  <c r="AN5" i="17" s="1"/>
  <c r="AC5" i="17"/>
  <c r="AD5" i="17" s="1"/>
  <c r="AF5" i="17" s="1"/>
  <c r="U5" i="17"/>
  <c r="V5" i="17" s="1"/>
  <c r="X5" i="17" s="1"/>
  <c r="M5" i="17"/>
  <c r="N5" i="17" s="1"/>
  <c r="P5" i="17" s="1"/>
  <c r="BA5" i="17"/>
  <c r="G6" i="17"/>
  <c r="BB5" i="17"/>
  <c r="BC5" i="17"/>
  <c r="E5" i="17"/>
  <c r="F5" i="17" s="1"/>
  <c r="H5" i="17" s="1"/>
  <c r="AS5" i="17" s="1"/>
  <c r="AK4" i="17"/>
  <c r="AL4" i="17" s="1"/>
  <c r="AN4" i="17" s="1"/>
  <c r="U4" i="17"/>
  <c r="V4" i="17" s="1"/>
  <c r="X4" i="17" s="1"/>
  <c r="M4" i="17"/>
  <c r="N4" i="17" s="1"/>
  <c r="P4" i="17" s="1"/>
  <c r="AS4" i="17" s="1"/>
  <c r="F4" i="17"/>
  <c r="H4" i="17" s="1"/>
  <c r="BB4" i="17"/>
  <c r="BC4" i="17"/>
  <c r="AN31" i="17"/>
  <c r="AN30" i="17"/>
  <c r="X30" i="17"/>
  <c r="AN29" i="17"/>
  <c r="X26" i="17"/>
  <c r="X25" i="17"/>
  <c r="AS34" i="16"/>
  <c r="AT34" i="16" s="1"/>
  <c r="AV34" i="16" s="1"/>
  <c r="AK34" i="16"/>
  <c r="AL34" i="16" s="1"/>
  <c r="AN34" i="16" s="1"/>
  <c r="AC34" i="16"/>
  <c r="AD34" i="16" s="1"/>
  <c r="AF34" i="16" s="1"/>
  <c r="U34" i="16"/>
  <c r="V34" i="16" s="1"/>
  <c r="X34" i="16" s="1"/>
  <c r="M34" i="16"/>
  <c r="N34" i="16" s="1"/>
  <c r="P34" i="16" s="1"/>
  <c r="BI34" i="16"/>
  <c r="E34" i="16"/>
  <c r="F34" i="16" s="1"/>
  <c r="AS33" i="16"/>
  <c r="AT33" i="16"/>
  <c r="AV33" i="16" s="1"/>
  <c r="AK33" i="16"/>
  <c r="AL33" i="16" s="1"/>
  <c r="AN33" i="16" s="1"/>
  <c r="AC33" i="16"/>
  <c r="AD33" i="16" s="1"/>
  <c r="AF33" i="16" s="1"/>
  <c r="U33" i="16"/>
  <c r="V33" i="16" s="1"/>
  <c r="X33" i="16" s="1"/>
  <c r="M33" i="16"/>
  <c r="N33" i="16" s="1"/>
  <c r="P33" i="16" s="1"/>
  <c r="BI33" i="16"/>
  <c r="E33" i="16"/>
  <c r="F33" i="16" s="1"/>
  <c r="AS32" i="16"/>
  <c r="AT32" i="16" s="1"/>
  <c r="AV32" i="16" s="1"/>
  <c r="AC32" i="16"/>
  <c r="AD32" i="16" s="1"/>
  <c r="AF32" i="16" s="1"/>
  <c r="U32" i="16"/>
  <c r="V32" i="16" s="1"/>
  <c r="X32" i="16" s="1"/>
  <c r="M32" i="16"/>
  <c r="N32" i="16" s="1"/>
  <c r="P32" i="16" s="1"/>
  <c r="E32" i="16"/>
  <c r="F32" i="16" s="1"/>
  <c r="BI32" i="16"/>
  <c r="AS31" i="16"/>
  <c r="AT31" i="16" s="1"/>
  <c r="AV31" i="16" s="1"/>
  <c r="AC31" i="16"/>
  <c r="AD31" i="16" s="1"/>
  <c r="AF31" i="16" s="1"/>
  <c r="U31" i="16"/>
  <c r="V31" i="16" s="1"/>
  <c r="X31" i="16" s="1"/>
  <c r="BI31" i="16"/>
  <c r="F31" i="16"/>
  <c r="AS30" i="16"/>
  <c r="AT30" i="16" s="1"/>
  <c r="AV30" i="16" s="1"/>
  <c r="AK30" i="16"/>
  <c r="AL30" i="16" s="1"/>
  <c r="AN30" i="16" s="1"/>
  <c r="U30" i="16"/>
  <c r="V30" i="16"/>
  <c r="X30" i="16" s="1"/>
  <c r="M30" i="16"/>
  <c r="N30" i="16" s="1"/>
  <c r="P30" i="16" s="1"/>
  <c r="BI30" i="16"/>
  <c r="E30" i="16"/>
  <c r="F30" i="16" s="1"/>
  <c r="AS29" i="16"/>
  <c r="AT29" i="16" s="1"/>
  <c r="AV29" i="16" s="1"/>
  <c r="AK29" i="16"/>
  <c r="AL29" i="16" s="1"/>
  <c r="AN29" i="16" s="1"/>
  <c r="AC29" i="16"/>
  <c r="AD29" i="16" s="1"/>
  <c r="AF29" i="16" s="1"/>
  <c r="U29" i="16"/>
  <c r="V29" i="16" s="1"/>
  <c r="X29" i="16" s="1"/>
  <c r="M29" i="16"/>
  <c r="N29" i="16" s="1"/>
  <c r="P29" i="16" s="1"/>
  <c r="E29" i="16"/>
  <c r="F29" i="16" s="1"/>
  <c r="BI29" i="16"/>
  <c r="AC28" i="16"/>
  <c r="AD28" i="16" s="1"/>
  <c r="AF28" i="16" s="1"/>
  <c r="U28" i="16"/>
  <c r="V28" i="16"/>
  <c r="X28" i="16" s="1"/>
  <c r="M28" i="16"/>
  <c r="N28" i="16" s="1"/>
  <c r="P28" i="16" s="1"/>
  <c r="BI28" i="16"/>
  <c r="AS27" i="16"/>
  <c r="AT27" i="16" s="1"/>
  <c r="AV27" i="16" s="1"/>
  <c r="AK27" i="16"/>
  <c r="AL27" i="16" s="1"/>
  <c r="AN27" i="16" s="1"/>
  <c r="AC27" i="16"/>
  <c r="AD27" i="16" s="1"/>
  <c r="AF27" i="16" s="1"/>
  <c r="M27" i="16"/>
  <c r="N27" i="16" s="1"/>
  <c r="P27" i="16" s="1"/>
  <c r="BI27" i="16"/>
  <c r="E27" i="16"/>
  <c r="F27" i="16" s="1"/>
  <c r="AS26" i="16"/>
  <c r="AT26" i="16" s="1"/>
  <c r="AV26" i="16" s="1"/>
  <c r="AK26" i="16"/>
  <c r="AL26" i="16" s="1"/>
  <c r="AN26" i="16" s="1"/>
  <c r="BI26" i="16"/>
  <c r="AC26" i="16"/>
  <c r="AD26" i="16" s="1"/>
  <c r="AF26" i="16" s="1"/>
  <c r="M26" i="16"/>
  <c r="N26" i="16" s="1"/>
  <c r="P26" i="16" s="1"/>
  <c r="E26" i="16"/>
  <c r="F26" i="16" s="1"/>
  <c r="AS25" i="16"/>
  <c r="AT25" i="16" s="1"/>
  <c r="AV25" i="16" s="1"/>
  <c r="AK25" i="16"/>
  <c r="AL25" i="16" s="1"/>
  <c r="AN25" i="16" s="1"/>
  <c r="AC25" i="16"/>
  <c r="AD25" i="16" s="1"/>
  <c r="AF25" i="16" s="1"/>
  <c r="U25" i="16"/>
  <c r="V25" i="16" s="1"/>
  <c r="X25" i="16" s="1"/>
  <c r="M25" i="16"/>
  <c r="N25" i="16" s="1"/>
  <c r="P25" i="16" s="1"/>
  <c r="BI25" i="16"/>
  <c r="E25" i="16"/>
  <c r="F25" i="16" s="1"/>
  <c r="AS24" i="16"/>
  <c r="AT24" i="16" s="1"/>
  <c r="AV24" i="16" s="1"/>
  <c r="AK24" i="16"/>
  <c r="AL24" i="16" s="1"/>
  <c r="AN24" i="16" s="1"/>
  <c r="AC24" i="16"/>
  <c r="AD24" i="16" s="1"/>
  <c r="AF24" i="16" s="1"/>
  <c r="U24" i="16"/>
  <c r="V24" i="16" s="1"/>
  <c r="X24" i="16" s="1"/>
  <c r="M24" i="16"/>
  <c r="N24" i="16" s="1"/>
  <c r="P24" i="16" s="1"/>
  <c r="E24" i="16"/>
  <c r="F24" i="16" s="1"/>
  <c r="BI24" i="16"/>
  <c r="AS23" i="16"/>
  <c r="AT23" i="16" s="1"/>
  <c r="AV23" i="16" s="1"/>
  <c r="AK23" i="16"/>
  <c r="AL23" i="16" s="1"/>
  <c r="AN23" i="16" s="1"/>
  <c r="AC23" i="16"/>
  <c r="AD23" i="16" s="1"/>
  <c r="AF23" i="16" s="1"/>
  <c r="U23" i="16"/>
  <c r="V23" i="16" s="1"/>
  <c r="X23" i="16" s="1"/>
  <c r="M23" i="16"/>
  <c r="N23" i="16" s="1"/>
  <c r="P23" i="16" s="1"/>
  <c r="BI23" i="16"/>
  <c r="E23" i="16"/>
  <c r="F23" i="16" s="1"/>
  <c r="AS22" i="16"/>
  <c r="AT22" i="16" s="1"/>
  <c r="AV22" i="16" s="1"/>
  <c r="AK22" i="16"/>
  <c r="AL22" i="16" s="1"/>
  <c r="AN22" i="16" s="1"/>
  <c r="AC22" i="16"/>
  <c r="AD22" i="16" s="1"/>
  <c r="AF22" i="16" s="1"/>
  <c r="U22" i="16"/>
  <c r="V22" i="16" s="1"/>
  <c r="X22" i="16" s="1"/>
  <c r="M22" i="16"/>
  <c r="N22" i="16" s="1"/>
  <c r="P22" i="16" s="1"/>
  <c r="E22" i="16"/>
  <c r="F22" i="16"/>
  <c r="BI22" i="16"/>
  <c r="AS21" i="16"/>
  <c r="AT21" i="16" s="1"/>
  <c r="AV21" i="16" s="1"/>
  <c r="AK21" i="16"/>
  <c r="AL21" i="16" s="1"/>
  <c r="AN21" i="16" s="1"/>
  <c r="AC21" i="16"/>
  <c r="AD21" i="16" s="1"/>
  <c r="AF21" i="16" s="1"/>
  <c r="U21" i="16"/>
  <c r="V21" i="16" s="1"/>
  <c r="X21" i="16" s="1"/>
  <c r="M21" i="16"/>
  <c r="N21" i="16" s="1"/>
  <c r="P21" i="16" s="1"/>
  <c r="E21" i="16"/>
  <c r="F21" i="16" s="1"/>
  <c r="BI21" i="16"/>
  <c r="AS20" i="16"/>
  <c r="AT20" i="16" s="1"/>
  <c r="AV20" i="16" s="1"/>
  <c r="AK20" i="16"/>
  <c r="AL20" i="16" s="1"/>
  <c r="AN20" i="16" s="1"/>
  <c r="AC20" i="16"/>
  <c r="AD20" i="16" s="1"/>
  <c r="AF20" i="16" s="1"/>
  <c r="U20" i="16"/>
  <c r="V20" i="16" s="1"/>
  <c r="X20" i="16" s="1"/>
  <c r="M20" i="16"/>
  <c r="N20" i="16" s="1"/>
  <c r="P20" i="16" s="1"/>
  <c r="BI20" i="16"/>
  <c r="E20" i="16"/>
  <c r="F20" i="16" s="1"/>
  <c r="AS19" i="16"/>
  <c r="AT19" i="16" s="1"/>
  <c r="AV19" i="16" s="1"/>
  <c r="AK19" i="16"/>
  <c r="AL19" i="16" s="1"/>
  <c r="AN19" i="16" s="1"/>
  <c r="AC19" i="16"/>
  <c r="AD19" i="16" s="1"/>
  <c r="AF19" i="16" s="1"/>
  <c r="U19" i="16"/>
  <c r="V19" i="16" s="1"/>
  <c r="X19" i="16" s="1"/>
  <c r="M19" i="16"/>
  <c r="N19" i="16" s="1"/>
  <c r="P19" i="16" s="1"/>
  <c r="BI19" i="16"/>
  <c r="E19" i="16"/>
  <c r="F19" i="16" s="1"/>
  <c r="AS18" i="16"/>
  <c r="AT18" i="16" s="1"/>
  <c r="AV18" i="16" s="1"/>
  <c r="AK18" i="16"/>
  <c r="AL18" i="16" s="1"/>
  <c r="AN18" i="16" s="1"/>
  <c r="AC18" i="16"/>
  <c r="AD18" i="16" s="1"/>
  <c r="AF18" i="16" s="1"/>
  <c r="U18" i="16"/>
  <c r="V18" i="16" s="1"/>
  <c r="X18" i="16" s="1"/>
  <c r="M18" i="16"/>
  <c r="N18" i="16" s="1"/>
  <c r="P18" i="16" s="1"/>
  <c r="E18" i="16"/>
  <c r="F18" i="16" s="1"/>
  <c r="BI18" i="16"/>
  <c r="BI17" i="16"/>
  <c r="AS17" i="16"/>
  <c r="AT17" i="16" s="1"/>
  <c r="AV17" i="16" s="1"/>
  <c r="AC17" i="16"/>
  <c r="AD17" i="16" s="1"/>
  <c r="AF17" i="16" s="1"/>
  <c r="U17" i="16"/>
  <c r="V17" i="16" s="1"/>
  <c r="X17" i="16" s="1"/>
  <c r="M17" i="16"/>
  <c r="N17" i="16" s="1"/>
  <c r="P17" i="16" s="1"/>
  <c r="E17" i="16"/>
  <c r="F17" i="16" s="1"/>
  <c r="AS16" i="16"/>
  <c r="AT16" i="16" s="1"/>
  <c r="AV16" i="16" s="1"/>
  <c r="AK16" i="16"/>
  <c r="AL16" i="16" s="1"/>
  <c r="AN16" i="16" s="1"/>
  <c r="AC16" i="16"/>
  <c r="AD16" i="16" s="1"/>
  <c r="AF16" i="16" s="1"/>
  <c r="U16" i="16"/>
  <c r="V16" i="16" s="1"/>
  <c r="X16" i="16" s="1"/>
  <c r="M16" i="16"/>
  <c r="N16" i="16" s="1"/>
  <c r="P16" i="16" s="1"/>
  <c r="BI16" i="16"/>
  <c r="E16" i="16"/>
  <c r="F16" i="16" s="1"/>
  <c r="AS15" i="16"/>
  <c r="AT15" i="16" s="1"/>
  <c r="AV15" i="16" s="1"/>
  <c r="AK15" i="16"/>
  <c r="AL15" i="16" s="1"/>
  <c r="AN15" i="16" s="1"/>
  <c r="AC15" i="16"/>
  <c r="AD15" i="16" s="1"/>
  <c r="AF15" i="16" s="1"/>
  <c r="U15" i="16"/>
  <c r="V15" i="16" s="1"/>
  <c r="X15" i="16" s="1"/>
  <c r="M15" i="16"/>
  <c r="N15" i="16" s="1"/>
  <c r="P15" i="16" s="1"/>
  <c r="E15" i="16"/>
  <c r="F15" i="16" s="1"/>
  <c r="BI15" i="16"/>
  <c r="AS14" i="16"/>
  <c r="AT14" i="16" s="1"/>
  <c r="AV14" i="16" s="1"/>
  <c r="AK14" i="16"/>
  <c r="AL14" i="16" s="1"/>
  <c r="AN14" i="16" s="1"/>
  <c r="AC14" i="16"/>
  <c r="AD14" i="16" s="1"/>
  <c r="AF14" i="16" s="1"/>
  <c r="U14" i="16"/>
  <c r="V14" i="16" s="1"/>
  <c r="X14" i="16" s="1"/>
  <c r="M14" i="16"/>
  <c r="N14" i="16" s="1"/>
  <c r="P14" i="16" s="1"/>
  <c r="E14" i="16"/>
  <c r="F14" i="16" s="1"/>
  <c r="BI14" i="16"/>
  <c r="AS13" i="16"/>
  <c r="AT13" i="16" s="1"/>
  <c r="AV13" i="16" s="1"/>
  <c r="AK13" i="16"/>
  <c r="AL13" i="16" s="1"/>
  <c r="AN13" i="16" s="1"/>
  <c r="AC13" i="16"/>
  <c r="AD13" i="16" s="1"/>
  <c r="AF13" i="16" s="1"/>
  <c r="U13" i="16"/>
  <c r="V13" i="16" s="1"/>
  <c r="X13" i="16" s="1"/>
  <c r="M13" i="16"/>
  <c r="N13" i="16" s="1"/>
  <c r="P13" i="16" s="1"/>
  <c r="BI13" i="16"/>
  <c r="E13" i="16"/>
  <c r="F13" i="16" s="1"/>
  <c r="AS12" i="16"/>
  <c r="AT12" i="16" s="1"/>
  <c r="AV12" i="16" s="1"/>
  <c r="AK12" i="16"/>
  <c r="AL12" i="16" s="1"/>
  <c r="AN12" i="16" s="1"/>
  <c r="AC12" i="16"/>
  <c r="AD12" i="16" s="1"/>
  <c r="AF12" i="16" s="1"/>
  <c r="U12" i="16"/>
  <c r="V12" i="16" s="1"/>
  <c r="X12" i="16" s="1"/>
  <c r="M12" i="16"/>
  <c r="N12" i="16" s="1"/>
  <c r="P12" i="16" s="1"/>
  <c r="BI12" i="16"/>
  <c r="E12" i="16"/>
  <c r="F12" i="16" s="1"/>
  <c r="AS11" i="16"/>
  <c r="AT11" i="16" s="1"/>
  <c r="AV11" i="16" s="1"/>
  <c r="AK11" i="16"/>
  <c r="AL11" i="16" s="1"/>
  <c r="AN11" i="16" s="1"/>
  <c r="AC11" i="16"/>
  <c r="AD11" i="16" s="1"/>
  <c r="AF11" i="16" s="1"/>
  <c r="U11" i="16"/>
  <c r="V11" i="16" s="1"/>
  <c r="X11" i="16" s="1"/>
  <c r="M11" i="16"/>
  <c r="N11" i="16" s="1"/>
  <c r="P11" i="16" s="1"/>
  <c r="E11" i="16"/>
  <c r="F11" i="16" s="1"/>
  <c r="BI11" i="16"/>
  <c r="AT10" i="16"/>
  <c r="AV10" i="16" s="1"/>
  <c r="AS10" i="16"/>
  <c r="AK10" i="16"/>
  <c r="AL10" i="16" s="1"/>
  <c r="AN10" i="16" s="1"/>
  <c r="AC10" i="16"/>
  <c r="AD10" i="16" s="1"/>
  <c r="AF10" i="16" s="1"/>
  <c r="U10" i="16"/>
  <c r="V10" i="16" s="1"/>
  <c r="X10" i="16" s="1"/>
  <c r="M10" i="16"/>
  <c r="N10" i="16"/>
  <c r="P10" i="16" s="1"/>
  <c r="E10" i="16"/>
  <c r="F10" i="16"/>
  <c r="BI10" i="16"/>
  <c r="AS9" i="16"/>
  <c r="AT9" i="16" s="1"/>
  <c r="AV9" i="16" s="1"/>
  <c r="AK9" i="16"/>
  <c r="AL9" i="16" s="1"/>
  <c r="AN9" i="16" s="1"/>
  <c r="AC9" i="16"/>
  <c r="AD9" i="16" s="1"/>
  <c r="AF9" i="16" s="1"/>
  <c r="U9" i="16"/>
  <c r="V9" i="16" s="1"/>
  <c r="X9" i="16" s="1"/>
  <c r="M9" i="16"/>
  <c r="N9" i="16" s="1"/>
  <c r="P9" i="16" s="1"/>
  <c r="BI9" i="16"/>
  <c r="E9" i="16"/>
  <c r="F9" i="16" s="1"/>
  <c r="AS8" i="16"/>
  <c r="AT8" i="16" s="1"/>
  <c r="AV8" i="16" s="1"/>
  <c r="AK8" i="16"/>
  <c r="AL8" i="16" s="1"/>
  <c r="AN8" i="16" s="1"/>
  <c r="AC8" i="16"/>
  <c r="AD8" i="16"/>
  <c r="AF8" i="16" s="1"/>
  <c r="U8" i="16"/>
  <c r="V8" i="16"/>
  <c r="X8" i="16" s="1"/>
  <c r="M8" i="16"/>
  <c r="N8" i="16" s="1"/>
  <c r="P8" i="16" s="1"/>
  <c r="E8" i="16"/>
  <c r="F8" i="16"/>
  <c r="AS7" i="16"/>
  <c r="AT7" i="16"/>
  <c r="AV7" i="16" s="1"/>
  <c r="AK7" i="16"/>
  <c r="AL7" i="16"/>
  <c r="AN7" i="16" s="1"/>
  <c r="AC7" i="16"/>
  <c r="AD7" i="16"/>
  <c r="AF7" i="16" s="1"/>
  <c r="U7" i="16"/>
  <c r="V7" i="16"/>
  <c r="X7" i="16" s="1"/>
  <c r="M7" i="16"/>
  <c r="N7" i="16"/>
  <c r="P7" i="16" s="1"/>
  <c r="BI7" i="16"/>
  <c r="E7" i="16"/>
  <c r="F7" i="16" s="1"/>
  <c r="AS6" i="16"/>
  <c r="AT6" i="16"/>
  <c r="AV6" i="16" s="1"/>
  <c r="AK6" i="16"/>
  <c r="AL6" i="16" s="1"/>
  <c r="AN6" i="16" s="1"/>
  <c r="AC6" i="16"/>
  <c r="AD6" i="16" s="1"/>
  <c r="AF6" i="16" s="1"/>
  <c r="U6" i="16"/>
  <c r="V6" i="16" s="1"/>
  <c r="X6" i="16" s="1"/>
  <c r="M6" i="16"/>
  <c r="N6" i="16" s="1"/>
  <c r="P6" i="16" s="1"/>
  <c r="BI6" i="16"/>
  <c r="E6" i="16"/>
  <c r="F6" i="16" s="1"/>
  <c r="H6" i="16" s="1"/>
  <c r="AZ6" i="16" s="1"/>
  <c r="AY5" i="16"/>
  <c r="AS5" i="16"/>
  <c r="AT5" i="16" s="1"/>
  <c r="AV5" i="16" s="1"/>
  <c r="AK5" i="16"/>
  <c r="AL5" i="16" s="1"/>
  <c r="AN5" i="16" s="1"/>
  <c r="AC5" i="16"/>
  <c r="AD5" i="16" s="1"/>
  <c r="AF5" i="16" s="1"/>
  <c r="U5" i="16"/>
  <c r="V5" i="16" s="1"/>
  <c r="X5" i="16" s="1"/>
  <c r="M5" i="16"/>
  <c r="N5" i="16" s="1"/>
  <c r="P5" i="16" s="1"/>
  <c r="G6" i="16"/>
  <c r="BH5" i="16"/>
  <c r="E5" i="16"/>
  <c r="F5" i="16" s="1"/>
  <c r="H5" i="16" s="1"/>
  <c r="AZ5" i="16" s="1"/>
  <c r="BI5" i="16"/>
  <c r="BJ5" i="16"/>
  <c r="AS4" i="16"/>
  <c r="AT4" i="16" s="1"/>
  <c r="AV4" i="16" s="1"/>
  <c r="AK4" i="16"/>
  <c r="AL4" i="16" s="1"/>
  <c r="AN4" i="16" s="1"/>
  <c r="U4" i="16"/>
  <c r="V4" i="16" s="1"/>
  <c r="X4" i="16" s="1"/>
  <c r="M4" i="16"/>
  <c r="N4" i="16" s="1"/>
  <c r="P4" i="16" s="1"/>
  <c r="BJ4" i="16"/>
  <c r="BI4" i="16"/>
  <c r="F4" i="16"/>
  <c r="H4" i="16" s="1"/>
  <c r="AN32" i="16"/>
  <c r="P31" i="16"/>
  <c r="AF30" i="16"/>
  <c r="AV28" i="16"/>
  <c r="X27" i="16"/>
  <c r="X26" i="16"/>
  <c r="AS37" i="15"/>
  <c r="AT37" i="15" s="1"/>
  <c r="AK37" i="15"/>
  <c r="AL37" i="15"/>
  <c r="AC37" i="15"/>
  <c r="AD37" i="15"/>
  <c r="U37" i="15"/>
  <c r="V37" i="15"/>
  <c r="M37" i="15"/>
  <c r="N37" i="15" s="1"/>
  <c r="BI37" i="15"/>
  <c r="E37" i="15"/>
  <c r="F37" i="15" s="1"/>
  <c r="AS36" i="15"/>
  <c r="AT36" i="15" s="1"/>
  <c r="AV36" i="15" s="1"/>
  <c r="AK36" i="15"/>
  <c r="AL36" i="15" s="1"/>
  <c r="AN36" i="15" s="1"/>
  <c r="AC36" i="15"/>
  <c r="AD36" i="15" s="1"/>
  <c r="AF36" i="15" s="1"/>
  <c r="U36" i="15"/>
  <c r="V36" i="15" s="1"/>
  <c r="X36" i="15" s="1"/>
  <c r="M36" i="15"/>
  <c r="N36" i="15" s="1"/>
  <c r="P36" i="15" s="1"/>
  <c r="BI36" i="15"/>
  <c r="E36" i="15"/>
  <c r="F36" i="15" s="1"/>
  <c r="AS35" i="15"/>
  <c r="AT35" i="15"/>
  <c r="AV35" i="15" s="1"/>
  <c r="AK35" i="15"/>
  <c r="AL35" i="15" s="1"/>
  <c r="AN35" i="15" s="1"/>
  <c r="AC35" i="15"/>
  <c r="AD35" i="15" s="1"/>
  <c r="AF35" i="15" s="1"/>
  <c r="U35" i="15"/>
  <c r="V35" i="15" s="1"/>
  <c r="X35" i="15" s="1"/>
  <c r="M35" i="15"/>
  <c r="N35" i="15" s="1"/>
  <c r="P35" i="15" s="1"/>
  <c r="E35" i="15"/>
  <c r="BI35" i="15"/>
  <c r="F35" i="15"/>
  <c r="AS34" i="15"/>
  <c r="AT34" i="15"/>
  <c r="AV34" i="15" s="1"/>
  <c r="AK34" i="15"/>
  <c r="AL34" i="15" s="1"/>
  <c r="AN34" i="15" s="1"/>
  <c r="AC34" i="15"/>
  <c r="AD34" i="15" s="1"/>
  <c r="AF34" i="15" s="1"/>
  <c r="U34" i="15"/>
  <c r="V34" i="15" s="1"/>
  <c r="X34" i="15" s="1"/>
  <c r="M34" i="15"/>
  <c r="N34" i="15" s="1"/>
  <c r="P34" i="15" s="1"/>
  <c r="E34" i="15"/>
  <c r="BI34" i="15"/>
  <c r="F34" i="15"/>
  <c r="AS33" i="15"/>
  <c r="AT33" i="15" s="1"/>
  <c r="AV33" i="15" s="1"/>
  <c r="AK33" i="15"/>
  <c r="AL33" i="15"/>
  <c r="AN33" i="15" s="1"/>
  <c r="AC33" i="15"/>
  <c r="AD33" i="15" s="1"/>
  <c r="AF33" i="15" s="1"/>
  <c r="U33" i="15"/>
  <c r="V33" i="15" s="1"/>
  <c r="X33" i="15" s="1"/>
  <c r="M33" i="15"/>
  <c r="N33" i="15" s="1"/>
  <c r="P33" i="15" s="1"/>
  <c r="E33" i="15"/>
  <c r="F33" i="15" s="1"/>
  <c r="BI33" i="15"/>
  <c r="AS32" i="15"/>
  <c r="AT32" i="15" s="1"/>
  <c r="AV32" i="15" s="1"/>
  <c r="AK32" i="15"/>
  <c r="AL32" i="15" s="1"/>
  <c r="AN32" i="15" s="1"/>
  <c r="AC32" i="15"/>
  <c r="AD32" i="15" s="1"/>
  <c r="AF32" i="15" s="1"/>
  <c r="U32" i="15"/>
  <c r="V32" i="15" s="1"/>
  <c r="X32" i="15" s="1"/>
  <c r="M32" i="15"/>
  <c r="N32" i="15" s="1"/>
  <c r="P32" i="15" s="1"/>
  <c r="E32" i="15"/>
  <c r="F32" i="15" s="1"/>
  <c r="BI32" i="15"/>
  <c r="AS31" i="15"/>
  <c r="AT31" i="15" s="1"/>
  <c r="AV31" i="15" s="1"/>
  <c r="AK31" i="15"/>
  <c r="AL31" i="15" s="1"/>
  <c r="AN31" i="15" s="1"/>
  <c r="AC31" i="15"/>
  <c r="AD31" i="15" s="1"/>
  <c r="AF31" i="15" s="1"/>
  <c r="U31" i="15"/>
  <c r="V31" i="15" s="1"/>
  <c r="X31" i="15" s="1"/>
  <c r="M31" i="15"/>
  <c r="N31" i="15" s="1"/>
  <c r="P31" i="15" s="1"/>
  <c r="BI31" i="15"/>
  <c r="E31" i="15"/>
  <c r="F31" i="15" s="1"/>
  <c r="BI30" i="15"/>
  <c r="AS30" i="15"/>
  <c r="AT30" i="15" s="1"/>
  <c r="AV30" i="15" s="1"/>
  <c r="AK30" i="15"/>
  <c r="AL30" i="15" s="1"/>
  <c r="AN30" i="15" s="1"/>
  <c r="AC30" i="15"/>
  <c r="AD30" i="15" s="1"/>
  <c r="AF30" i="15" s="1"/>
  <c r="U30" i="15"/>
  <c r="V30" i="15" s="1"/>
  <c r="X30" i="15" s="1"/>
  <c r="M30" i="15"/>
  <c r="N30" i="15" s="1"/>
  <c r="P30" i="15" s="1"/>
  <c r="E30" i="15"/>
  <c r="F30" i="15" s="1"/>
  <c r="AS29" i="15"/>
  <c r="AT29" i="15" s="1"/>
  <c r="AV29" i="15" s="1"/>
  <c r="AK29" i="15"/>
  <c r="AL29" i="15" s="1"/>
  <c r="AN29" i="15" s="1"/>
  <c r="AC29" i="15"/>
  <c r="AD29" i="15" s="1"/>
  <c r="AF29" i="15" s="1"/>
  <c r="U29" i="15"/>
  <c r="V29" i="15" s="1"/>
  <c r="X29" i="15" s="1"/>
  <c r="M29" i="15"/>
  <c r="N29" i="15" s="1"/>
  <c r="P29" i="15" s="1"/>
  <c r="BI29" i="15"/>
  <c r="E29" i="15"/>
  <c r="F29" i="15"/>
  <c r="AS28" i="15"/>
  <c r="AT28" i="15"/>
  <c r="AV28" i="15" s="1"/>
  <c r="AK28" i="15"/>
  <c r="AL28" i="15"/>
  <c r="AN28" i="15" s="1"/>
  <c r="AC28" i="15"/>
  <c r="AD28" i="15" s="1"/>
  <c r="AF28" i="15" s="1"/>
  <c r="U28" i="15"/>
  <c r="V28" i="15"/>
  <c r="X28" i="15" s="1"/>
  <c r="M28" i="15"/>
  <c r="N28" i="15" s="1"/>
  <c r="P28" i="15" s="1"/>
  <c r="BI28" i="15"/>
  <c r="E28" i="15"/>
  <c r="F28" i="15" s="1"/>
  <c r="AS27" i="15"/>
  <c r="AT27" i="15"/>
  <c r="AV27" i="15" s="1"/>
  <c r="AK27" i="15"/>
  <c r="AL27" i="15"/>
  <c r="AN27" i="15" s="1"/>
  <c r="AC27" i="15"/>
  <c r="AD27" i="15"/>
  <c r="AF27" i="15" s="1"/>
  <c r="U27" i="15"/>
  <c r="V27" i="15" s="1"/>
  <c r="X27" i="15" s="1"/>
  <c r="M27" i="15"/>
  <c r="N27" i="15" s="1"/>
  <c r="P27" i="15" s="1"/>
  <c r="BI27" i="15"/>
  <c r="E27" i="15"/>
  <c r="F27" i="15" s="1"/>
  <c r="AS26" i="15"/>
  <c r="AT26" i="15"/>
  <c r="AV26" i="15" s="1"/>
  <c r="AK26" i="15"/>
  <c r="AL26" i="15" s="1"/>
  <c r="AN26" i="15" s="1"/>
  <c r="AC26" i="15"/>
  <c r="AD26" i="15"/>
  <c r="AF26" i="15" s="1"/>
  <c r="U26" i="15"/>
  <c r="V26" i="15" s="1"/>
  <c r="X26" i="15" s="1"/>
  <c r="M26" i="15"/>
  <c r="N26" i="15"/>
  <c r="E26" i="15"/>
  <c r="F26" i="15"/>
  <c r="BI26" i="15"/>
  <c r="AS25" i="15"/>
  <c r="AT25" i="15" s="1"/>
  <c r="AV25" i="15" s="1"/>
  <c r="AK25" i="15"/>
  <c r="AL25" i="15" s="1"/>
  <c r="AN25" i="15" s="1"/>
  <c r="AC25" i="15"/>
  <c r="AD25" i="15"/>
  <c r="AF25" i="15" s="1"/>
  <c r="U25" i="15"/>
  <c r="V25" i="15"/>
  <c r="X25" i="15" s="1"/>
  <c r="M25" i="15"/>
  <c r="N25" i="15"/>
  <c r="E25" i="15"/>
  <c r="BI25" i="15"/>
  <c r="F25" i="15"/>
  <c r="AS24" i="15"/>
  <c r="AT24" i="15" s="1"/>
  <c r="AV24" i="15" s="1"/>
  <c r="AK24" i="15"/>
  <c r="AL24" i="15"/>
  <c r="AN24" i="15" s="1"/>
  <c r="AC24" i="15"/>
  <c r="AD24" i="15" s="1"/>
  <c r="AF24" i="15" s="1"/>
  <c r="U24" i="15"/>
  <c r="V24" i="15"/>
  <c r="X24" i="15" s="1"/>
  <c r="M24" i="15"/>
  <c r="N24" i="15" s="1"/>
  <c r="P24" i="15" s="1"/>
  <c r="E24" i="15"/>
  <c r="F24" i="15" s="1"/>
  <c r="BI24" i="15"/>
  <c r="AS23" i="15"/>
  <c r="AT23" i="15" s="1"/>
  <c r="AV23" i="15" s="1"/>
  <c r="AK23" i="15"/>
  <c r="AL23" i="15" s="1"/>
  <c r="AN23" i="15" s="1"/>
  <c r="AC23" i="15"/>
  <c r="AD23" i="15" s="1"/>
  <c r="AF23" i="15" s="1"/>
  <c r="U23" i="15"/>
  <c r="V23" i="15" s="1"/>
  <c r="X23" i="15" s="1"/>
  <c r="BI23" i="15"/>
  <c r="M23" i="15"/>
  <c r="N23" i="15" s="1"/>
  <c r="P23" i="15" s="1"/>
  <c r="E23" i="15"/>
  <c r="F23" i="15" s="1"/>
  <c r="AS22" i="15"/>
  <c r="AT22" i="15" s="1"/>
  <c r="AV22" i="15" s="1"/>
  <c r="AK22" i="15"/>
  <c r="AL22" i="15" s="1"/>
  <c r="AN22" i="15" s="1"/>
  <c r="AC22" i="15"/>
  <c r="AD22" i="15" s="1"/>
  <c r="AF22" i="15" s="1"/>
  <c r="U22" i="15"/>
  <c r="V22" i="15" s="1"/>
  <c r="X22" i="15" s="1"/>
  <c r="M22" i="15"/>
  <c r="N22" i="15" s="1"/>
  <c r="P22" i="15" s="1"/>
  <c r="E22" i="15"/>
  <c r="F22" i="15" s="1"/>
  <c r="BI22" i="15"/>
  <c r="AS21" i="15"/>
  <c r="AT21" i="15" s="1"/>
  <c r="AV21" i="15" s="1"/>
  <c r="AK21" i="15"/>
  <c r="AL21" i="15" s="1"/>
  <c r="AN21" i="15" s="1"/>
  <c r="AC21" i="15"/>
  <c r="AD21" i="15" s="1"/>
  <c r="AF21" i="15" s="1"/>
  <c r="U21" i="15"/>
  <c r="V21" i="15" s="1"/>
  <c r="X21" i="15" s="1"/>
  <c r="M21" i="15"/>
  <c r="N21" i="15" s="1"/>
  <c r="P21" i="15" s="1"/>
  <c r="BI21" i="15"/>
  <c r="E21" i="15"/>
  <c r="F21" i="15" s="1"/>
  <c r="AS20" i="15"/>
  <c r="AT20" i="15" s="1"/>
  <c r="AV20" i="15" s="1"/>
  <c r="AL20" i="15"/>
  <c r="AN20" i="15" s="1"/>
  <c r="AK20" i="15"/>
  <c r="AC20" i="15"/>
  <c r="AD20" i="15" s="1"/>
  <c r="AF20" i="15" s="1"/>
  <c r="U20" i="15"/>
  <c r="V20" i="15" s="1"/>
  <c r="X20" i="15" s="1"/>
  <c r="M20" i="15"/>
  <c r="N20" i="15" s="1"/>
  <c r="P20" i="15" s="1"/>
  <c r="BI20" i="15"/>
  <c r="E20" i="15"/>
  <c r="F20" i="15" s="1"/>
  <c r="AS19" i="15"/>
  <c r="AT19" i="15" s="1"/>
  <c r="AV19" i="15" s="1"/>
  <c r="AK19" i="15"/>
  <c r="AL19" i="15" s="1"/>
  <c r="AN19" i="15" s="1"/>
  <c r="AC19" i="15"/>
  <c r="AD19" i="15" s="1"/>
  <c r="AF19" i="15" s="1"/>
  <c r="U19" i="15"/>
  <c r="V19" i="15" s="1"/>
  <c r="X19" i="15" s="1"/>
  <c r="M19" i="15"/>
  <c r="N19" i="15" s="1"/>
  <c r="P19" i="15" s="1"/>
  <c r="BI19" i="15"/>
  <c r="E19" i="15"/>
  <c r="F19" i="15" s="1"/>
  <c r="AS18" i="15"/>
  <c r="AT18" i="15" s="1"/>
  <c r="AV18" i="15" s="1"/>
  <c r="AK18" i="15"/>
  <c r="AL18" i="15" s="1"/>
  <c r="AN18" i="15" s="1"/>
  <c r="AC18" i="15"/>
  <c r="AD18" i="15" s="1"/>
  <c r="AF18" i="15" s="1"/>
  <c r="U18" i="15"/>
  <c r="V18" i="15" s="1"/>
  <c r="X18" i="15" s="1"/>
  <c r="M18" i="15"/>
  <c r="N18" i="15" s="1"/>
  <c r="P18" i="15" s="1"/>
  <c r="E18" i="15"/>
  <c r="F18" i="15" s="1"/>
  <c r="BI18" i="15"/>
  <c r="AS17" i="15"/>
  <c r="AT17" i="15" s="1"/>
  <c r="AV17" i="15" s="1"/>
  <c r="AK17" i="15"/>
  <c r="AL17" i="15" s="1"/>
  <c r="AN17" i="15" s="1"/>
  <c r="AC17" i="15"/>
  <c r="AD17" i="15" s="1"/>
  <c r="AF17" i="15" s="1"/>
  <c r="U17" i="15"/>
  <c r="V17" i="15" s="1"/>
  <c r="X17" i="15" s="1"/>
  <c r="M17" i="15"/>
  <c r="N17" i="15" s="1"/>
  <c r="P17" i="15" s="1"/>
  <c r="E17" i="15"/>
  <c r="F17" i="15" s="1"/>
  <c r="BI17" i="15"/>
  <c r="AS16" i="15"/>
  <c r="AT16" i="15" s="1"/>
  <c r="AV16" i="15" s="1"/>
  <c r="AK16" i="15"/>
  <c r="AL16" i="15" s="1"/>
  <c r="AN16" i="15" s="1"/>
  <c r="AC16" i="15"/>
  <c r="AD16" i="15" s="1"/>
  <c r="AF16" i="15" s="1"/>
  <c r="U16" i="15"/>
  <c r="V16" i="15" s="1"/>
  <c r="X16" i="15" s="1"/>
  <c r="M16" i="15"/>
  <c r="N16" i="15" s="1"/>
  <c r="P16" i="15" s="1"/>
  <c r="BI16" i="15"/>
  <c r="E16" i="15"/>
  <c r="F16" i="15" s="1"/>
  <c r="AS15" i="15"/>
  <c r="AT15" i="15" s="1"/>
  <c r="AV15" i="15" s="1"/>
  <c r="BI15" i="15"/>
  <c r="AK15" i="15"/>
  <c r="AL15" i="15" s="1"/>
  <c r="AN15" i="15" s="1"/>
  <c r="AC15" i="15"/>
  <c r="AD15" i="15" s="1"/>
  <c r="AF15" i="15" s="1"/>
  <c r="U15" i="15"/>
  <c r="V15" i="15" s="1"/>
  <c r="X15" i="15" s="1"/>
  <c r="M15" i="15"/>
  <c r="N15" i="15" s="1"/>
  <c r="P15" i="15" s="1"/>
  <c r="E15" i="15"/>
  <c r="F15" i="15" s="1"/>
  <c r="AS14" i="15"/>
  <c r="AT14" i="15" s="1"/>
  <c r="AV14" i="15" s="1"/>
  <c r="AK14" i="15"/>
  <c r="AL14" i="15" s="1"/>
  <c r="AN14" i="15" s="1"/>
  <c r="AC14" i="15"/>
  <c r="AD14" i="15" s="1"/>
  <c r="AF14" i="15" s="1"/>
  <c r="U14" i="15"/>
  <c r="V14" i="15" s="1"/>
  <c r="X14" i="15" s="1"/>
  <c r="M14" i="15"/>
  <c r="N14" i="15" s="1"/>
  <c r="P14" i="15" s="1"/>
  <c r="E14" i="15"/>
  <c r="F14" i="15" s="1"/>
  <c r="BI14" i="15"/>
  <c r="AS13" i="15"/>
  <c r="AT13" i="15" s="1"/>
  <c r="AV13" i="15" s="1"/>
  <c r="AK13" i="15"/>
  <c r="AL13" i="15" s="1"/>
  <c r="AN13" i="15" s="1"/>
  <c r="AC13" i="15"/>
  <c r="AD13" i="15" s="1"/>
  <c r="AF13" i="15" s="1"/>
  <c r="U13" i="15"/>
  <c r="V13" i="15" s="1"/>
  <c r="X13" i="15" s="1"/>
  <c r="M13" i="15"/>
  <c r="N13" i="15" s="1"/>
  <c r="P13" i="15" s="1"/>
  <c r="BI13" i="15"/>
  <c r="E13" i="15"/>
  <c r="F13" i="15" s="1"/>
  <c r="AS12" i="15"/>
  <c r="AT12" i="15" s="1"/>
  <c r="AV12" i="15" s="1"/>
  <c r="AK12" i="15"/>
  <c r="AL12" i="15" s="1"/>
  <c r="AN12" i="15" s="1"/>
  <c r="AC12" i="15"/>
  <c r="AD12" i="15" s="1"/>
  <c r="AF12" i="15" s="1"/>
  <c r="U12" i="15"/>
  <c r="V12" i="15" s="1"/>
  <c r="X12" i="15" s="1"/>
  <c r="M12" i="15"/>
  <c r="N12" i="15" s="1"/>
  <c r="P12" i="15" s="1"/>
  <c r="BI12" i="15"/>
  <c r="E12" i="15"/>
  <c r="F12" i="15"/>
  <c r="AS11" i="15"/>
  <c r="AT11" i="15" s="1"/>
  <c r="AV11" i="15" s="1"/>
  <c r="AK11" i="15"/>
  <c r="AL11" i="15" s="1"/>
  <c r="AN11" i="15" s="1"/>
  <c r="AC11" i="15"/>
  <c r="AD11" i="15" s="1"/>
  <c r="AF11" i="15" s="1"/>
  <c r="M11" i="15"/>
  <c r="N11" i="15"/>
  <c r="BI11" i="15"/>
  <c r="E11" i="15"/>
  <c r="F11" i="15" s="1"/>
  <c r="AS10" i="15"/>
  <c r="AT10" i="15" s="1"/>
  <c r="AV10" i="15" s="1"/>
  <c r="AK10" i="15"/>
  <c r="AL10" i="15"/>
  <c r="AN10" i="15" s="1"/>
  <c r="AC10" i="15"/>
  <c r="AD10" i="15"/>
  <c r="AF10" i="15" s="1"/>
  <c r="U10" i="15"/>
  <c r="V10" i="15" s="1"/>
  <c r="X10" i="15" s="1"/>
  <c r="M10" i="15"/>
  <c r="N10" i="15" s="1"/>
  <c r="P10" i="15" s="1"/>
  <c r="BI10" i="15"/>
  <c r="E10" i="15"/>
  <c r="F10" i="15" s="1"/>
  <c r="H10" i="15" s="1"/>
  <c r="AZ10" i="15" s="1"/>
  <c r="AS9" i="15"/>
  <c r="AT9" i="15" s="1"/>
  <c r="AV9" i="15" s="1"/>
  <c r="AK9" i="15"/>
  <c r="AL9" i="15" s="1"/>
  <c r="AN9" i="15" s="1"/>
  <c r="AC9" i="15"/>
  <c r="AD9" i="15" s="1"/>
  <c r="AF9" i="15" s="1"/>
  <c r="U9" i="15"/>
  <c r="V9" i="15" s="1"/>
  <c r="X9" i="15" s="1"/>
  <c r="M9" i="15"/>
  <c r="N9" i="15"/>
  <c r="G10" i="15"/>
  <c r="E9" i="15"/>
  <c r="F9" i="15" s="1"/>
  <c r="H9" i="15" s="1"/>
  <c r="BI9" i="15"/>
  <c r="AY8" i="15"/>
  <c r="AK8" i="15"/>
  <c r="AL8" i="15" s="1"/>
  <c r="AN8" i="15" s="1"/>
  <c r="AC8" i="15"/>
  <c r="AD8" i="15" s="1"/>
  <c r="AF8" i="15" s="1"/>
  <c r="AZ8" i="15" s="1"/>
  <c r="U8" i="15"/>
  <c r="V8" i="15"/>
  <c r="X8" i="15" s="1"/>
  <c r="BI8" i="15"/>
  <c r="BH8" i="15"/>
  <c r="BJ8" i="15"/>
  <c r="O9" i="15"/>
  <c r="E8" i="15"/>
  <c r="F8" i="15"/>
  <c r="H8" i="15" s="1"/>
  <c r="AK7" i="15"/>
  <c r="AL7" i="15" s="1"/>
  <c r="AN7" i="15" s="1"/>
  <c r="AC7" i="15"/>
  <c r="AD7" i="15" s="1"/>
  <c r="AF7" i="15" s="1"/>
  <c r="U7" i="15"/>
  <c r="V7" i="15" s="1"/>
  <c r="X7" i="15" s="1"/>
  <c r="M7" i="15"/>
  <c r="N7" i="15" s="1"/>
  <c r="P7" i="15" s="1"/>
  <c r="AZ7" i="15" s="1"/>
  <c r="BJ7" i="15"/>
  <c r="BI7" i="15"/>
  <c r="F7" i="15"/>
  <c r="H7" i="15" s="1"/>
  <c r="X11" i="15"/>
  <c r="N5" i="13"/>
  <c r="P5" i="13" s="1"/>
  <c r="AD21" i="13"/>
  <c r="AD14" i="13"/>
  <c r="AT20" i="13"/>
  <c r="F20" i="13"/>
  <c r="F22" i="13"/>
  <c r="BI17" i="13"/>
  <c r="M7" i="13"/>
  <c r="N7" i="13" s="1"/>
  <c r="AC17" i="13"/>
  <c r="AD17" i="13" s="1"/>
  <c r="E20" i="13"/>
  <c r="E22" i="13"/>
  <c r="BI32" i="13"/>
  <c r="BI5" i="13"/>
  <c r="AL12" i="13"/>
  <c r="AN12" i="13" s="1"/>
  <c r="AC14" i="13"/>
  <c r="AS16" i="13"/>
  <c r="AC28" i="13"/>
  <c r="AD28" i="13" s="1"/>
  <c r="BI31" i="13"/>
  <c r="AK12" i="13"/>
  <c r="V13" i="13"/>
  <c r="E14" i="13"/>
  <c r="F14" i="13" s="1"/>
  <c r="V24" i="13"/>
  <c r="AT27" i="13"/>
  <c r="BI30" i="13"/>
  <c r="BI22" i="13"/>
  <c r="BI14" i="13"/>
  <c r="AY5" i="13"/>
  <c r="AS6" i="13"/>
  <c r="AT6" i="13" s="1"/>
  <c r="AV6" i="13" s="1"/>
  <c r="V15" i="13"/>
  <c r="E17" i="13"/>
  <c r="AS20" i="13"/>
  <c r="AC21" i="13"/>
  <c r="F31" i="13"/>
  <c r="M5" i="13"/>
  <c r="AK5" i="13"/>
  <c r="AL5" i="13" s="1"/>
  <c r="AN5" i="13" s="1"/>
  <c r="AK7" i="13"/>
  <c r="AL7" i="13" s="1"/>
  <c r="AN7" i="13" s="1"/>
  <c r="U8" i="13"/>
  <c r="V8" i="13" s="1"/>
  <c r="E10" i="13"/>
  <c r="F10" i="13" s="1"/>
  <c r="E19" i="13"/>
  <c r="F19" i="13" s="1"/>
  <c r="U20" i="13"/>
  <c r="V20" i="13" s="1"/>
  <c r="BI20" i="13"/>
  <c r="BI12" i="13"/>
  <c r="AS5" i="13"/>
  <c r="AT5" i="13" s="1"/>
  <c r="AV5" i="13" s="1"/>
  <c r="E8" i="13"/>
  <c r="F8" i="13" s="1"/>
  <c r="V10" i="13"/>
  <c r="AT11" i="13"/>
  <c r="E23" i="13"/>
  <c r="BI23" i="13"/>
  <c r="E31" i="13"/>
  <c r="V17" i="13"/>
  <c r="BI27" i="13"/>
  <c r="BI25" i="13"/>
  <c r="AV8" i="13"/>
  <c r="F9" i="13"/>
  <c r="F23" i="13"/>
  <c r="AT7" i="13"/>
  <c r="AV7" i="13" s="1"/>
  <c r="F13" i="13"/>
  <c r="E15" i="13"/>
  <c r="F15" i="13" s="1"/>
  <c r="BI10" i="13"/>
  <c r="AF13" i="14"/>
  <c r="F29" i="14"/>
  <c r="N25" i="14"/>
  <c r="P25" i="14" s="1"/>
  <c r="V31" i="14"/>
  <c r="N13" i="14"/>
  <c r="P13" i="14" s="1"/>
  <c r="V34" i="14"/>
  <c r="V24" i="14"/>
  <c r="AL26" i="14"/>
  <c r="AF9" i="14"/>
  <c r="AF16" i="14"/>
  <c r="U4" i="14"/>
  <c r="F5" i="14"/>
  <c r="H5" i="14" s="1"/>
  <c r="AF5" i="14"/>
  <c r="F7" i="14"/>
  <c r="H7" i="14" s="1"/>
  <c r="BB8" i="14"/>
  <c r="BB11" i="14"/>
  <c r="AF14" i="14"/>
  <c r="U31" i="14"/>
  <c r="P10" i="14"/>
  <c r="M13" i="14"/>
  <c r="AL14" i="14"/>
  <c r="AL15" i="14"/>
  <c r="AN15" i="14" s="1"/>
  <c r="E17" i="14"/>
  <c r="F17" i="14" s="1"/>
  <c r="U23" i="14"/>
  <c r="V23" i="14" s="1"/>
  <c r="AK26" i="14"/>
  <c r="E33" i="14"/>
  <c r="F33" i="14" s="1"/>
  <c r="U34" i="14"/>
  <c r="BB4" i="14"/>
  <c r="AK5" i="14"/>
  <c r="AL5" i="14" s="1"/>
  <c r="AN5" i="14" s="1"/>
  <c r="N7" i="14"/>
  <c r="M8" i="14"/>
  <c r="N8" i="14" s="1"/>
  <c r="P8" i="14" s="1"/>
  <c r="V20" i="14"/>
  <c r="X20" i="14" s="1"/>
  <c r="U24" i="14"/>
  <c r="M25" i="14"/>
  <c r="E29" i="14"/>
  <c r="V4" i="14"/>
  <c r="X4" i="14" s="1"/>
  <c r="V9" i="14"/>
  <c r="X9" i="14" s="1"/>
  <c r="M14" i="14"/>
  <c r="N14" i="14" s="1"/>
  <c r="P14" i="14" s="1"/>
  <c r="M30" i="14"/>
  <c r="N30" i="14" s="1"/>
  <c r="AK33" i="14"/>
  <c r="AL33" i="14" s="1"/>
  <c r="N4" i="14"/>
  <c r="P4" i="14" s="1"/>
  <c r="N31" i="14"/>
  <c r="BB32" i="14"/>
  <c r="AN6" i="14"/>
  <c r="AD17" i="14"/>
  <c r="AF17" i="14" s="1"/>
  <c r="AD25" i="14"/>
  <c r="AF25" i="14" s="1"/>
  <c r="F32" i="14"/>
  <c r="W16" i="14"/>
  <c r="W17" i="14" s="1"/>
  <c r="W18" i="14" s="1"/>
  <c r="W19" i="14" s="1"/>
  <c r="W20" i="14" s="1"/>
  <c r="W21" i="14" s="1"/>
  <c r="W22" i="14" s="1"/>
  <c r="W23" i="14" s="1"/>
  <c r="X15" i="14"/>
  <c r="O26" i="14"/>
  <c r="O27" i="14" s="1"/>
  <c r="AF7" i="14"/>
  <c r="X8" i="14"/>
  <c r="AF11" i="14"/>
  <c r="AF12" i="14"/>
  <c r="AN10" i="14"/>
  <c r="G7" i="14"/>
  <c r="BA6" i="14"/>
  <c r="BC6" i="14" s="1"/>
  <c r="P7" i="14"/>
  <c r="N12" i="14"/>
  <c r="P12" i="14" s="1"/>
  <c r="P19" i="14"/>
  <c r="AF21" i="14"/>
  <c r="AM15" i="14"/>
  <c r="AM16" i="14" s="1"/>
  <c r="AM17" i="14" s="1"/>
  <c r="AN14" i="14"/>
  <c r="X14" i="14"/>
  <c r="AL9" i="14"/>
  <c r="AN9" i="14" s="1"/>
  <c r="X11" i="14"/>
  <c r="AE28" i="14"/>
  <c r="AE29" i="14" s="1"/>
  <c r="AF27" i="14"/>
  <c r="X13" i="14"/>
  <c r="N15" i="14"/>
  <c r="P15" i="14" s="1"/>
  <c r="AF19" i="14"/>
  <c r="P26" i="14"/>
  <c r="P23" i="14"/>
  <c r="AK23" i="14"/>
  <c r="AL23" i="14" s="1"/>
  <c r="BB7" i="14"/>
  <c r="BB21" i="14"/>
  <c r="AC22" i="14"/>
  <c r="AD22" i="14" s="1"/>
  <c r="AF22" i="14" s="1"/>
  <c r="AK27" i="14"/>
  <c r="AL27" i="14" s="1"/>
  <c r="V29" i="14"/>
  <c r="BB30" i="14"/>
  <c r="BB6" i="14"/>
  <c r="AQ7" i="14"/>
  <c r="AF10" i="14"/>
  <c r="AD23" i="14"/>
  <c r="AF23" i="14" s="1"/>
  <c r="N34" i="14"/>
  <c r="BB5" i="14"/>
  <c r="M6" i="14"/>
  <c r="N6" i="14" s="1"/>
  <c r="P6" i="14" s="1"/>
  <c r="AC8" i="14"/>
  <c r="AD8" i="14" s="1"/>
  <c r="AF8" i="14" s="1"/>
  <c r="BB10" i="14"/>
  <c r="M12" i="14"/>
  <c r="BB12" i="14"/>
  <c r="E16" i="14"/>
  <c r="F16" i="14" s="1"/>
  <c r="BB16" i="14"/>
  <c r="AK18" i="14"/>
  <c r="AL18" i="14" s="1"/>
  <c r="M20" i="14"/>
  <c r="N20" i="14" s="1"/>
  <c r="P20" i="14" s="1"/>
  <c r="AL21" i="14"/>
  <c r="AC23" i="14"/>
  <c r="U27" i="14"/>
  <c r="V27" i="14" s="1"/>
  <c r="BB27" i="14"/>
  <c r="E30" i="14"/>
  <c r="F30" i="14" s="1"/>
  <c r="M34" i="14"/>
  <c r="BC5" i="14"/>
  <c r="AC6" i="14"/>
  <c r="AD6" i="14" s="1"/>
  <c r="AF6" i="14" s="1"/>
  <c r="F8" i="14"/>
  <c r="E9" i="14"/>
  <c r="F9" i="14" s="1"/>
  <c r="E10" i="14"/>
  <c r="F10" i="14" s="1"/>
  <c r="V10" i="14"/>
  <c r="X10" i="14" s="1"/>
  <c r="N11" i="14"/>
  <c r="P11" i="14" s="1"/>
  <c r="E15" i="14"/>
  <c r="F15" i="14" s="1"/>
  <c r="M16" i="14"/>
  <c r="N16" i="14" s="1"/>
  <c r="P16" i="14" s="1"/>
  <c r="P18" i="14"/>
  <c r="M21" i="14"/>
  <c r="N21" i="14" s="1"/>
  <c r="P21" i="14" s="1"/>
  <c r="U25" i="14"/>
  <c r="V25" i="14" s="1"/>
  <c r="AF28" i="14"/>
  <c r="BB29" i="14"/>
  <c r="E31" i="14"/>
  <c r="F31" i="14" s="1"/>
  <c r="BB31" i="14"/>
  <c r="AR5" i="14"/>
  <c r="E6" i="14"/>
  <c r="U7" i="14"/>
  <c r="V7" i="14" s="1"/>
  <c r="X7" i="14" s="1"/>
  <c r="BB13" i="14"/>
  <c r="E14" i="14"/>
  <c r="F14" i="14" s="1"/>
  <c r="M15" i="14"/>
  <c r="AK16" i="14"/>
  <c r="AL16" i="14" s="1"/>
  <c r="U18" i="14"/>
  <c r="V18" i="14" s="1"/>
  <c r="U21" i="14"/>
  <c r="V21" i="14" s="1"/>
  <c r="V22" i="14"/>
  <c r="X22" i="14" s="1"/>
  <c r="E25" i="14"/>
  <c r="F25" i="14" s="1"/>
  <c r="E27" i="14"/>
  <c r="F27" i="14" s="1"/>
  <c r="E28" i="14"/>
  <c r="F28" i="14" s="1"/>
  <c r="P22" i="14"/>
  <c r="AK4" i="14"/>
  <c r="AL4" i="14" s="1"/>
  <c r="AN4" i="14" s="1"/>
  <c r="AS4" i="14" s="1"/>
  <c r="U5" i="14"/>
  <c r="V5" i="14" s="1"/>
  <c r="X5" i="14" s="1"/>
  <c r="F6" i="14"/>
  <c r="H6" i="14" s="1"/>
  <c r="U6" i="14"/>
  <c r="V6" i="14" s="1"/>
  <c r="X6" i="14" s="1"/>
  <c r="AK7" i="14"/>
  <c r="AL7" i="14" s="1"/>
  <c r="AN7" i="14" s="1"/>
  <c r="AK8" i="14"/>
  <c r="AL8" i="14" s="1"/>
  <c r="AN8" i="14" s="1"/>
  <c r="AK9" i="14"/>
  <c r="AK11" i="14"/>
  <c r="AL11" i="14" s="1"/>
  <c r="AN11" i="14" s="1"/>
  <c r="E13" i="14"/>
  <c r="F13" i="14" s="1"/>
  <c r="AC15" i="14"/>
  <c r="AD15" i="14" s="1"/>
  <c r="AF15" i="14" s="1"/>
  <c r="BB17" i="14"/>
  <c r="BB20" i="14"/>
  <c r="U22" i="14"/>
  <c r="BB22" i="14"/>
  <c r="M24" i="14"/>
  <c r="N24" i="14" s="1"/>
  <c r="P24" i="14" s="1"/>
  <c r="BB24" i="14"/>
  <c r="N29" i="14"/>
  <c r="AK29" i="14"/>
  <c r="AL29" i="14" s="1"/>
  <c r="AD34" i="14"/>
  <c r="AC34" i="14"/>
  <c r="AF24" i="14"/>
  <c r="BB25" i="14"/>
  <c r="N9" i="14"/>
  <c r="P9" i="14" s="1"/>
  <c r="F12" i="14"/>
  <c r="BB15" i="14"/>
  <c r="U16" i="14"/>
  <c r="V16" i="14" s="1"/>
  <c r="M17" i="14"/>
  <c r="N17" i="14" s="1"/>
  <c r="P17" i="14" s="1"/>
  <c r="F20" i="14"/>
  <c r="M29" i="14"/>
  <c r="AK34" i="14"/>
  <c r="AL34" i="14" s="1"/>
  <c r="AL24" i="14"/>
  <c r="AC26" i="14"/>
  <c r="AD26" i="14" s="1"/>
  <c r="AF26" i="14" s="1"/>
  <c r="AL32" i="14"/>
  <c r="F23" i="14"/>
  <c r="E23" i="14"/>
  <c r="V30" i="14"/>
  <c r="M11" i="14"/>
  <c r="U12" i="14"/>
  <c r="V12" i="14" s="1"/>
  <c r="X12" i="14" s="1"/>
  <c r="AK13" i="14"/>
  <c r="AL13" i="14" s="1"/>
  <c r="AN13" i="14" s="1"/>
  <c r="E19" i="14"/>
  <c r="F19" i="14" s="1"/>
  <c r="AK19" i="14"/>
  <c r="AL19" i="14" s="1"/>
  <c r="BB19" i="14"/>
  <c r="AC20" i="14"/>
  <c r="AD20" i="14" s="1"/>
  <c r="AF20" i="14" s="1"/>
  <c r="AK21" i="14"/>
  <c r="BB23" i="14"/>
  <c r="M32" i="14"/>
  <c r="N32" i="14" s="1"/>
  <c r="AL12" i="14"/>
  <c r="AN12" i="14" s="1"/>
  <c r="U17" i="14"/>
  <c r="V17" i="14" s="1"/>
  <c r="AC18" i="14"/>
  <c r="AD18" i="14" s="1"/>
  <c r="AF18" i="14" s="1"/>
  <c r="AC31" i="14"/>
  <c r="AD31" i="14" s="1"/>
  <c r="U33" i="14"/>
  <c r="V33" i="14" s="1"/>
  <c r="BB18" i="14"/>
  <c r="BB26" i="14"/>
  <c r="BB34" i="14"/>
  <c r="E18" i="14"/>
  <c r="F18" i="14" s="1"/>
  <c r="E26" i="14"/>
  <c r="F26" i="14" s="1"/>
  <c r="E34" i="14"/>
  <c r="F34" i="14" s="1"/>
  <c r="AY7" i="13"/>
  <c r="AX8" i="13"/>
  <c r="AN10" i="13"/>
  <c r="AU10" i="13"/>
  <c r="AU11" i="13" s="1"/>
  <c r="AV9" i="13"/>
  <c r="X6" i="13"/>
  <c r="W7" i="13"/>
  <c r="W8" i="13" s="1"/>
  <c r="W9" i="13" s="1"/>
  <c r="AF19" i="13"/>
  <c r="AV10" i="13"/>
  <c r="AN8" i="13"/>
  <c r="AN6" i="13"/>
  <c r="BJ5" i="13"/>
  <c r="AD9" i="13"/>
  <c r="AF9" i="13" s="1"/>
  <c r="AS30" i="13"/>
  <c r="AT30" i="13" s="1"/>
  <c r="AS24" i="13"/>
  <c r="AT24" i="13" s="1"/>
  <c r="BI4" i="13"/>
  <c r="BH5" i="13"/>
  <c r="N10" i="13"/>
  <c r="AD12" i="13"/>
  <c r="AF12" i="13" s="1"/>
  <c r="AN13" i="13"/>
  <c r="M16" i="13"/>
  <c r="N16" i="13" s="1"/>
  <c r="P16" i="13" s="1"/>
  <c r="AT16" i="13"/>
  <c r="M17" i="13"/>
  <c r="N17" i="13" s="1"/>
  <c r="AK27" i="13"/>
  <c r="AL27" i="13" s="1"/>
  <c r="AN27" i="13" s="1"/>
  <c r="U18" i="13"/>
  <c r="V18" i="13" s="1"/>
  <c r="M34" i="13"/>
  <c r="N34" i="13" s="1"/>
  <c r="P34" i="13" s="1"/>
  <c r="AK29" i="13"/>
  <c r="AL29" i="13" s="1"/>
  <c r="AN29" i="13" s="1"/>
  <c r="AK4" i="13"/>
  <c r="AL4" i="13" s="1"/>
  <c r="AN4" i="13" s="1"/>
  <c r="AC6" i="13"/>
  <c r="AD6" i="13"/>
  <c r="AF6" i="13" s="1"/>
  <c r="M23" i="13"/>
  <c r="N23" i="13" s="1"/>
  <c r="P23" i="13" s="1"/>
  <c r="U4" i="13"/>
  <c r="V4" i="13" s="1"/>
  <c r="X4" i="13" s="1"/>
  <c r="M6" i="13"/>
  <c r="N6" i="13" s="1"/>
  <c r="P6" i="13" s="1"/>
  <c r="AL9" i="13"/>
  <c r="AN9" i="13" s="1"/>
  <c r="AK18" i="13"/>
  <c r="AL18" i="13" s="1"/>
  <c r="AN18" i="13" s="1"/>
  <c r="U26" i="13"/>
  <c r="V26" i="13" s="1"/>
  <c r="AE15" i="13"/>
  <c r="AE16" i="13" s="1"/>
  <c r="AE17" i="13" s="1"/>
  <c r="AE18" i="13" s="1"/>
  <c r="AE19" i="13" s="1"/>
  <c r="AE20" i="13" s="1"/>
  <c r="AE21" i="13" s="1"/>
  <c r="AF14" i="13"/>
  <c r="AY6" i="13"/>
  <c r="N9" i="13"/>
  <c r="P9" i="13" s="1"/>
  <c r="N33" i="13"/>
  <c r="M33" i="13"/>
  <c r="AC5" i="13"/>
  <c r="AD5" i="13"/>
  <c r="AF5" i="13" s="1"/>
  <c r="AC7" i="13"/>
  <c r="AD7" i="13" s="1"/>
  <c r="AF7" i="13" s="1"/>
  <c r="P19" i="13"/>
  <c r="F28" i="13"/>
  <c r="E28" i="13"/>
  <c r="AS15" i="13"/>
  <c r="AT15" i="13" s="1"/>
  <c r="AL14" i="13"/>
  <c r="AN14" i="13" s="1"/>
  <c r="G7" i="13"/>
  <c r="BH6" i="13"/>
  <c r="M8" i="13"/>
  <c r="N8" i="13" s="1"/>
  <c r="P8" i="13" s="1"/>
  <c r="AK11" i="13"/>
  <c r="AL11" i="13" s="1"/>
  <c r="AN11" i="13" s="1"/>
  <c r="V12" i="13"/>
  <c r="M18" i="13"/>
  <c r="N18" i="13" s="1"/>
  <c r="O6" i="13"/>
  <c r="O7" i="13" s="1"/>
  <c r="O8" i="13" s="1"/>
  <c r="O9" i="13" s="1"/>
  <c r="O10" i="13" s="1"/>
  <c r="O11" i="13" s="1"/>
  <c r="O12" i="13" s="1"/>
  <c r="O13" i="13" s="1"/>
  <c r="O14" i="13" s="1"/>
  <c r="O15" i="13" s="1"/>
  <c r="O16" i="13" s="1"/>
  <c r="O17" i="13" s="1"/>
  <c r="O18" i="13" s="1"/>
  <c r="O19" i="13" s="1"/>
  <c r="O20" i="13" s="1"/>
  <c r="O21" i="13" s="1"/>
  <c r="O22" i="13" s="1"/>
  <c r="O23" i="13" s="1"/>
  <c r="O24" i="13" s="1"/>
  <c r="O25" i="13" s="1"/>
  <c r="O26" i="13" s="1"/>
  <c r="O27" i="13" s="1"/>
  <c r="O28" i="13" s="1"/>
  <c r="O29" i="13" s="1"/>
  <c r="O30" i="13" s="1"/>
  <c r="O31" i="13" s="1"/>
  <c r="O32" i="13" s="1"/>
  <c r="O33" i="13" s="1"/>
  <c r="O34" i="13" s="1"/>
  <c r="AL15" i="13"/>
  <c r="AN15" i="13" s="1"/>
  <c r="V16" i="13"/>
  <c r="AL28" i="13"/>
  <c r="AN28" i="13" s="1"/>
  <c r="AC13" i="13"/>
  <c r="AD13" i="13" s="1"/>
  <c r="AF13" i="13" s="1"/>
  <c r="M15" i="13"/>
  <c r="N15" i="13" s="1"/>
  <c r="P15" i="13" s="1"/>
  <c r="M25" i="13"/>
  <c r="N25" i="13" s="1"/>
  <c r="P25" i="13" s="1"/>
  <c r="V27" i="13"/>
  <c r="M31" i="13"/>
  <c r="N31" i="13" s="1"/>
  <c r="P31" i="13" s="1"/>
  <c r="E5" i="13"/>
  <c r="F5" i="13" s="1"/>
  <c r="H5" i="13" s="1"/>
  <c r="AZ5" i="13" s="1"/>
  <c r="E6" i="13"/>
  <c r="F6" i="13" s="1"/>
  <c r="H6" i="13" s="1"/>
  <c r="E7" i="13"/>
  <c r="F7" i="13" s="1"/>
  <c r="H7" i="13" s="1"/>
  <c r="AC8" i="13"/>
  <c r="AD8" i="13" s="1"/>
  <c r="AF8" i="13" s="1"/>
  <c r="AC9" i="13"/>
  <c r="AC10" i="13"/>
  <c r="AD10" i="13" s="1"/>
  <c r="AF10" i="13" s="1"/>
  <c r="M11" i="13"/>
  <c r="N11" i="13" s="1"/>
  <c r="P11" i="13" s="1"/>
  <c r="AD11" i="13"/>
  <c r="AF11" i="13" s="1"/>
  <c r="F12" i="13"/>
  <c r="U12" i="13"/>
  <c r="M13" i="13"/>
  <c r="N13" i="13" s="1"/>
  <c r="P13" i="13" s="1"/>
  <c r="M14" i="13"/>
  <c r="N14" i="13" s="1"/>
  <c r="P14" i="13" s="1"/>
  <c r="AS14" i="13"/>
  <c r="AT14" i="13" s="1"/>
  <c r="E18" i="13"/>
  <c r="AL20" i="13"/>
  <c r="AN20" i="13" s="1"/>
  <c r="AK22" i="13"/>
  <c r="AL22" i="13" s="1"/>
  <c r="AN22" i="13" s="1"/>
  <c r="AS23" i="13"/>
  <c r="AT23" i="13" s="1"/>
  <c r="E26" i="13"/>
  <c r="F26" i="13" s="1"/>
  <c r="U27" i="13"/>
  <c r="U29" i="13"/>
  <c r="V29" i="13" s="1"/>
  <c r="M32" i="13"/>
  <c r="N32" i="13" s="1"/>
  <c r="P32" i="13" s="1"/>
  <c r="AS32" i="13"/>
  <c r="AT32" i="13" s="1"/>
  <c r="F18" i="13"/>
  <c r="AK19" i="13"/>
  <c r="AL19" i="13" s="1"/>
  <c r="AN19" i="13" s="1"/>
  <c r="U21" i="13"/>
  <c r="V21" i="13" s="1"/>
  <c r="U22" i="13"/>
  <c r="V22" i="13" s="1"/>
  <c r="M26" i="13"/>
  <c r="N26" i="13" s="1"/>
  <c r="AS31" i="13"/>
  <c r="AT31" i="13" s="1"/>
  <c r="E16" i="13"/>
  <c r="F16" i="13" s="1"/>
  <c r="AL16" i="13"/>
  <c r="AN16" i="13" s="1"/>
  <c r="F17" i="13"/>
  <c r="AK17" i="13"/>
  <c r="AL17" i="13" s="1"/>
  <c r="AN17" i="13" s="1"/>
  <c r="AC18" i="13"/>
  <c r="AD18" i="13" s="1"/>
  <c r="AF18" i="13" s="1"/>
  <c r="V19" i="13"/>
  <c r="AK21" i="13"/>
  <c r="AL21" i="13" s="1"/>
  <c r="AN21" i="13" s="1"/>
  <c r="AS22" i="13"/>
  <c r="AT22" i="13" s="1"/>
  <c r="M24" i="13"/>
  <c r="N24" i="13" s="1"/>
  <c r="P24" i="13" s="1"/>
  <c r="F27" i="13"/>
  <c r="AL30" i="13"/>
  <c r="AN30" i="13" s="1"/>
  <c r="AS33" i="13"/>
  <c r="AT33" i="13" s="1"/>
  <c r="AS34" i="13"/>
  <c r="AT34" i="13" s="1"/>
  <c r="M22" i="13"/>
  <c r="N22" i="13" s="1"/>
  <c r="P22" i="13" s="1"/>
  <c r="M30" i="13"/>
  <c r="N30" i="13" s="1"/>
  <c r="P30" i="13" s="1"/>
  <c r="E34" i="13"/>
  <c r="F34" i="13" s="1"/>
  <c r="U34" i="13"/>
  <c r="V34" i="13" s="1"/>
  <c r="M21" i="13"/>
  <c r="N21" i="13" s="1"/>
  <c r="P21" i="13" s="1"/>
  <c r="E25" i="13"/>
  <c r="F25" i="13" s="1"/>
  <c r="AL25" i="13"/>
  <c r="AN25" i="13" s="1"/>
  <c r="AK26" i="13"/>
  <c r="AL26" i="13" s="1"/>
  <c r="AN26" i="13" s="1"/>
  <c r="M29" i="13"/>
  <c r="N29" i="13" s="1"/>
  <c r="P29" i="13" s="1"/>
  <c r="AS29" i="13"/>
  <c r="AT29" i="13" s="1"/>
  <c r="E33" i="13"/>
  <c r="F33" i="13" s="1"/>
  <c r="U33" i="13"/>
  <c r="V33" i="13" s="1"/>
  <c r="AK34" i="13"/>
  <c r="AL34" i="13" s="1"/>
  <c r="AN34" i="13" s="1"/>
  <c r="M20" i="13"/>
  <c r="N20" i="13" s="1"/>
  <c r="P20" i="13" s="1"/>
  <c r="AL24" i="13"/>
  <c r="AN24" i="13" s="1"/>
  <c r="M28" i="13"/>
  <c r="N28" i="13" s="1"/>
  <c r="P28" i="13" s="1"/>
  <c r="E32" i="13"/>
  <c r="F32" i="13" s="1"/>
  <c r="AL32" i="13"/>
  <c r="AN32" i="13" s="1"/>
  <c r="AK33" i="13"/>
  <c r="AL33" i="13" s="1"/>
  <c r="AN33" i="13" s="1"/>
  <c r="AL23" i="13"/>
  <c r="AN23" i="13" s="1"/>
  <c r="M27" i="13"/>
  <c r="N27" i="13" s="1"/>
  <c r="P27" i="13" s="1"/>
  <c r="AL31" i="13"/>
  <c r="AN31" i="13" s="1"/>
  <c r="AT23" i="6"/>
  <c r="AS33" i="6"/>
  <c r="AT33" i="6" s="1"/>
  <c r="AS25" i="6"/>
  <c r="AT25" i="6" s="1"/>
  <c r="AT37" i="6"/>
  <c r="AT39" i="6" s="1"/>
  <c r="AT15" i="6"/>
  <c r="AS27" i="6"/>
  <c r="AT27" i="6" s="1"/>
  <c r="AT11" i="6"/>
  <c r="AS31" i="6"/>
  <c r="AT31" i="6" s="1"/>
  <c r="AT19" i="6"/>
  <c r="AS12" i="6"/>
  <c r="AT12" i="6" s="1"/>
  <c r="AU10" i="6"/>
  <c r="AU11" i="6" s="1"/>
  <c r="AU12" i="6" s="1"/>
  <c r="AU13" i="6" s="1"/>
  <c r="AU14" i="6" s="1"/>
  <c r="AU15" i="6" s="1"/>
  <c r="AV9" i="6"/>
  <c r="AV8" i="6"/>
  <c r="AT36" i="6"/>
  <c r="AT20" i="6"/>
  <c r="AT28" i="6"/>
  <c r="AT34" i="6"/>
  <c r="AT30" i="6"/>
  <c r="AT14" i="6"/>
  <c r="AT22" i="6"/>
  <c r="AT13" i="6"/>
  <c r="AT29" i="6"/>
  <c r="AT10" i="6"/>
  <c r="AT18" i="6"/>
  <c r="AT21" i="6"/>
  <c r="AT26" i="6"/>
  <c r="AU6" i="17" l="1"/>
  <c r="AR6" i="17"/>
  <c r="BA6" i="17"/>
  <c r="BC6" i="17" s="1"/>
  <c r="G7" i="17"/>
  <c r="AU5" i="17"/>
  <c r="AV5" i="17" s="1"/>
  <c r="AT4" i="17"/>
  <c r="AU4" i="17"/>
  <c r="AV4" i="17" s="1"/>
  <c r="BB6" i="16"/>
  <c r="AY6" i="16"/>
  <c r="BH6" i="16"/>
  <c r="BJ6" i="16" s="1"/>
  <c r="G7" i="16"/>
  <c r="BB5" i="16"/>
  <c r="BC5" i="16" s="1"/>
  <c r="AZ4" i="16"/>
  <c r="AV37" i="15"/>
  <c r="AT39" i="15"/>
  <c r="AN37" i="15"/>
  <c r="AL39" i="15"/>
  <c r="AF37" i="15"/>
  <c r="AD39" i="15"/>
  <c r="X37" i="15"/>
  <c r="V39" i="15"/>
  <c r="P37" i="15"/>
  <c r="N39" i="15"/>
  <c r="F39" i="15"/>
  <c r="BB10" i="15"/>
  <c r="BH10" i="15"/>
  <c r="BJ10" i="15" s="1"/>
  <c r="G11" i="15"/>
  <c r="AY9" i="15"/>
  <c r="BB8" i="15"/>
  <c r="BC8" i="15" s="1"/>
  <c r="BB7" i="15"/>
  <c r="BC7" i="15" s="1"/>
  <c r="P9" i="15"/>
  <c r="AZ9" i="15" s="1"/>
  <c r="O10" i="15"/>
  <c r="O11" i="15" s="1"/>
  <c r="BH9" i="15"/>
  <c r="BJ9" i="15" s="1"/>
  <c r="P26" i="13"/>
  <c r="P17" i="13"/>
  <c r="X7" i="13"/>
  <c r="BJ6" i="13"/>
  <c r="P18" i="13"/>
  <c r="X17" i="14"/>
  <c r="X19" i="14"/>
  <c r="X21" i="14"/>
  <c r="AN16" i="14"/>
  <c r="X16" i="14"/>
  <c r="AS5" i="14"/>
  <c r="AT5" i="14" s="1"/>
  <c r="AU5" i="14" s="1"/>
  <c r="AV5" i="14" s="1"/>
  <c r="X18" i="14"/>
  <c r="AN18" i="14"/>
  <c r="AT4" i="14"/>
  <c r="AU4" i="14" s="1"/>
  <c r="AV4" i="14" s="1"/>
  <c r="AQ8" i="14"/>
  <c r="AR7" i="14"/>
  <c r="BA7" i="14"/>
  <c r="BC7" i="14" s="1"/>
  <c r="G8" i="14"/>
  <c r="H8" i="14" s="1"/>
  <c r="AS8" i="14" s="1"/>
  <c r="AN19" i="14"/>
  <c r="O28" i="14"/>
  <c r="P27" i="14"/>
  <c r="AS7" i="14"/>
  <c r="AM18" i="14"/>
  <c r="AM19" i="14" s="1"/>
  <c r="AM20" i="14" s="1"/>
  <c r="AN17" i="14"/>
  <c r="AS6" i="14"/>
  <c r="AE30" i="14"/>
  <c r="AF29" i="14"/>
  <c r="X23" i="14"/>
  <c r="W24" i="14"/>
  <c r="AZ4" i="13"/>
  <c r="P33" i="13"/>
  <c r="AF16" i="13"/>
  <c r="W10" i="13"/>
  <c r="X9" i="13"/>
  <c r="AY8" i="13"/>
  <c r="AX9" i="13"/>
  <c r="AZ6" i="13"/>
  <c r="AF17" i="13"/>
  <c r="AF15" i="13"/>
  <c r="P10" i="13"/>
  <c r="AF20" i="13"/>
  <c r="G8" i="13"/>
  <c r="BH7" i="13"/>
  <c r="BJ7" i="13" s="1"/>
  <c r="BA5" i="13"/>
  <c r="BB5" i="13" s="1"/>
  <c r="BC5" i="13" s="1"/>
  <c r="AU12" i="13"/>
  <c r="AV11" i="13"/>
  <c r="P7" i="13"/>
  <c r="AZ7" i="13" s="1"/>
  <c r="AE22" i="13"/>
  <c r="AF21" i="13"/>
  <c r="P12" i="13"/>
  <c r="X8" i="13"/>
  <c r="AV12" i="6"/>
  <c r="AV10" i="6"/>
  <c r="AV13" i="6"/>
  <c r="AV14" i="6"/>
  <c r="AV11" i="6"/>
  <c r="AU16" i="6"/>
  <c r="AV15" i="6"/>
  <c r="AR7" i="17" l="1"/>
  <c r="H7" i="17"/>
  <c r="AS7" i="17" s="1"/>
  <c r="BC7" i="17"/>
  <c r="BA7" i="17"/>
  <c r="G8" i="17"/>
  <c r="AV6" i="17"/>
  <c r="AY7" i="16"/>
  <c r="H7" i="16"/>
  <c r="AZ7" i="16" s="1"/>
  <c r="BJ7" i="16"/>
  <c r="BH7" i="16"/>
  <c r="G8" i="16"/>
  <c r="BB4" i="16"/>
  <c r="BC4" i="16" s="1"/>
  <c r="BC6" i="16"/>
  <c r="H11" i="15"/>
  <c r="AZ11" i="15" s="1"/>
  <c r="BH11" i="15"/>
  <c r="BJ11" i="15" s="1"/>
  <c r="G12" i="15"/>
  <c r="AY10" i="15"/>
  <c r="BC10" i="15" s="1"/>
  <c r="BB9" i="15"/>
  <c r="BC9" i="15" s="1"/>
  <c r="P11" i="15"/>
  <c r="O12" i="15"/>
  <c r="O13" i="15" s="1"/>
  <c r="O14" i="15" s="1"/>
  <c r="O15" i="15" s="1"/>
  <c r="O16" i="15" s="1"/>
  <c r="O17" i="15" s="1"/>
  <c r="O18" i="15" s="1"/>
  <c r="O19" i="15" s="1"/>
  <c r="O20" i="15" s="1"/>
  <c r="O21" i="15" s="1"/>
  <c r="O22" i="15" s="1"/>
  <c r="O23" i="15" s="1"/>
  <c r="O24" i="15" s="1"/>
  <c r="O25" i="15" s="1"/>
  <c r="BJ8" i="13"/>
  <c r="AT7" i="14"/>
  <c r="AU7" i="14" s="1"/>
  <c r="AV7" i="14" s="1"/>
  <c r="BA8" i="14"/>
  <c r="G9" i="14"/>
  <c r="BC8" i="14"/>
  <c r="AE31" i="14"/>
  <c r="AF30" i="14"/>
  <c r="AM21" i="14"/>
  <c r="AN20" i="14"/>
  <c r="O29" i="14"/>
  <c r="P28" i="14"/>
  <c r="AR8" i="14"/>
  <c r="AQ9" i="14"/>
  <c r="AT8" i="14"/>
  <c r="AU8" i="14" s="1"/>
  <c r="AV8" i="14" s="1"/>
  <c r="AT6" i="14"/>
  <c r="AU6" i="14" s="1"/>
  <c r="AV6" i="14" s="1"/>
  <c r="W25" i="14"/>
  <c r="X24" i="14"/>
  <c r="BA7" i="13"/>
  <c r="BB7" i="13" s="1"/>
  <c r="BC7" i="13" s="1"/>
  <c r="AU13" i="13"/>
  <c r="AV12" i="13"/>
  <c r="W11" i="13"/>
  <c r="X10" i="13"/>
  <c r="BA6" i="13"/>
  <c r="BB6" i="13" s="1"/>
  <c r="BC6" i="13" s="1"/>
  <c r="BA4" i="13"/>
  <c r="BB4" i="13" s="1"/>
  <c r="BC4" i="13" s="1"/>
  <c r="AY9" i="13"/>
  <c r="AX10" i="13"/>
  <c r="G9" i="13"/>
  <c r="BH8" i="13"/>
  <c r="H8" i="13"/>
  <c r="AZ8" i="13" s="1"/>
  <c r="AE23" i="13"/>
  <c r="AF22" i="13"/>
  <c r="AU17" i="6"/>
  <c r="AV16" i="6"/>
  <c r="AR8" i="17" l="1"/>
  <c r="AU7" i="17"/>
  <c r="AV7" i="17" s="1"/>
  <c r="H8" i="17"/>
  <c r="AS8" i="17" s="1"/>
  <c r="BC8" i="17"/>
  <c r="BA8" i="17"/>
  <c r="G9" i="17"/>
  <c r="AY8" i="16"/>
  <c r="BB7" i="16"/>
  <c r="BC7" i="16" s="1"/>
  <c r="H8" i="16"/>
  <c r="AZ8" i="16" s="1"/>
  <c r="BH8" i="16"/>
  <c r="BJ8" i="16"/>
  <c r="G9" i="16"/>
  <c r="BB11" i="15"/>
  <c r="H12" i="15"/>
  <c r="AZ12" i="15" s="1"/>
  <c r="BH12" i="15"/>
  <c r="BJ12" i="15" s="1"/>
  <c r="G13" i="15"/>
  <c r="AY11" i="15"/>
  <c r="P25" i="15"/>
  <c r="O26" i="15"/>
  <c r="AE32" i="14"/>
  <c r="AF31" i="14"/>
  <c r="AR9" i="14"/>
  <c r="AQ10" i="14"/>
  <c r="BA9" i="14"/>
  <c r="G10" i="14"/>
  <c r="BC9" i="14"/>
  <c r="H9" i="14"/>
  <c r="AS9" i="14" s="1"/>
  <c r="W26" i="14"/>
  <c r="X25" i="14"/>
  <c r="O30" i="14"/>
  <c r="P29" i="14"/>
  <c r="AM22" i="14"/>
  <c r="AN21" i="14"/>
  <c r="G10" i="13"/>
  <c r="H9" i="13"/>
  <c r="AZ9" i="13" s="1"/>
  <c r="BH9" i="13"/>
  <c r="BJ9" i="13" s="1"/>
  <c r="W12" i="13"/>
  <c r="X11" i="13"/>
  <c r="AY10" i="13"/>
  <c r="AX11" i="13"/>
  <c r="AU14" i="13"/>
  <c r="AV13" i="13"/>
  <c r="AE24" i="13"/>
  <c r="AF23" i="13"/>
  <c r="BA8" i="13"/>
  <c r="BB8" i="13" s="1"/>
  <c r="BC8" i="13" s="1"/>
  <c r="AU18" i="6"/>
  <c r="AV17" i="6"/>
  <c r="AR9" i="17" l="1"/>
  <c r="AU8" i="17"/>
  <c r="AV8" i="17" s="1"/>
  <c r="H9" i="17"/>
  <c r="AS9" i="17" s="1"/>
  <c r="BA9" i="17"/>
  <c r="BC9" i="17" s="1"/>
  <c r="G10" i="17"/>
  <c r="AY9" i="16"/>
  <c r="BB8" i="16"/>
  <c r="BC8" i="16" s="1"/>
  <c r="H9" i="16"/>
  <c r="AZ9" i="16" s="1"/>
  <c r="BH9" i="16"/>
  <c r="BJ9" i="16" s="1"/>
  <c r="G10" i="16"/>
  <c r="BB12" i="15"/>
  <c r="H13" i="15"/>
  <c r="AZ13" i="15" s="1"/>
  <c r="BH13" i="15"/>
  <c r="BJ13" i="15" s="1"/>
  <c r="G14" i="15"/>
  <c r="AY12" i="15"/>
  <c r="P26" i="15"/>
  <c r="O27" i="15"/>
  <c r="O28" i="15" s="1"/>
  <c r="O29" i="15" s="1"/>
  <c r="O30" i="15" s="1"/>
  <c r="O31" i="15" s="1"/>
  <c r="O32" i="15" s="1"/>
  <c r="O33" i="15" s="1"/>
  <c r="O34" i="15" s="1"/>
  <c r="O35" i="15" s="1"/>
  <c r="O36" i="15" s="1"/>
  <c r="O37" i="15" s="1"/>
  <c r="BC11" i="15"/>
  <c r="AR10" i="14"/>
  <c r="AQ11" i="14"/>
  <c r="W27" i="14"/>
  <c r="X26" i="14"/>
  <c r="AF32" i="14"/>
  <c r="AE33" i="14"/>
  <c r="BA10" i="14"/>
  <c r="BC10" i="14" s="1"/>
  <c r="G11" i="14"/>
  <c r="H10" i="14"/>
  <c r="AS10" i="14" s="1"/>
  <c r="AM23" i="14"/>
  <c r="AN22" i="14"/>
  <c r="O31" i="14"/>
  <c r="P30" i="14"/>
  <c r="AT9" i="14"/>
  <c r="AU9" i="14"/>
  <c r="AV9" i="14" s="1"/>
  <c r="AX12" i="13"/>
  <c r="AY11" i="13"/>
  <c r="W13" i="13"/>
  <c r="X12" i="13"/>
  <c r="AE25" i="13"/>
  <c r="AF24" i="13"/>
  <c r="BA9" i="13"/>
  <c r="BB9" i="13" s="1"/>
  <c r="BC9" i="13" s="1"/>
  <c r="AU15" i="13"/>
  <c r="AV14" i="13"/>
  <c r="G11" i="13"/>
  <c r="BH10" i="13"/>
  <c r="BJ10" i="13" s="1"/>
  <c r="H10" i="13"/>
  <c r="AZ10" i="13" s="1"/>
  <c r="AU19" i="6"/>
  <c r="AV18" i="6"/>
  <c r="AR10" i="17" l="1"/>
  <c r="AU9" i="17"/>
  <c r="AV9" i="17" s="1"/>
  <c r="H10" i="17"/>
  <c r="AS10" i="17" s="1"/>
  <c r="BA10" i="17"/>
  <c r="BC10" i="17" s="1"/>
  <c r="G11" i="17"/>
  <c r="AY10" i="16"/>
  <c r="BB9" i="16"/>
  <c r="BC9" i="16" s="1"/>
  <c r="H10" i="16"/>
  <c r="AZ10" i="16" s="1"/>
  <c r="BH10" i="16"/>
  <c r="BJ10" i="16" s="1"/>
  <c r="G11" i="16"/>
  <c r="BC12" i="15"/>
  <c r="BB13" i="15"/>
  <c r="H14" i="15"/>
  <c r="AZ14" i="15" s="1"/>
  <c r="BH14" i="15"/>
  <c r="BJ14" i="15" s="1"/>
  <c r="G15" i="15"/>
  <c r="AY13" i="15"/>
  <c r="AE34" i="14"/>
  <c r="AF34" i="14" s="1"/>
  <c r="AF33" i="14"/>
  <c r="AM24" i="14"/>
  <c r="AN23" i="14"/>
  <c r="AT10" i="14"/>
  <c r="AU10" i="14" s="1"/>
  <c r="AV10" i="14" s="1"/>
  <c r="AQ12" i="14"/>
  <c r="AR11" i="14"/>
  <c r="BA11" i="14"/>
  <c r="BC11" i="14" s="1"/>
  <c r="G12" i="14"/>
  <c r="H11" i="14"/>
  <c r="AS11" i="14" s="1"/>
  <c r="O32" i="14"/>
  <c r="P31" i="14"/>
  <c r="W28" i="14"/>
  <c r="X27" i="14"/>
  <c r="BA10" i="13"/>
  <c r="BB10" i="13" s="1"/>
  <c r="BC10" i="13" s="1"/>
  <c r="AE26" i="13"/>
  <c r="AF25" i="13"/>
  <c r="W14" i="13"/>
  <c r="X13" i="13"/>
  <c r="G12" i="13"/>
  <c r="BH11" i="13"/>
  <c r="BJ11" i="13" s="1"/>
  <c r="H11" i="13"/>
  <c r="AZ11" i="13" s="1"/>
  <c r="AU16" i="13"/>
  <c r="AV15" i="13"/>
  <c r="AX13" i="13"/>
  <c r="AY12" i="13"/>
  <c r="AU20" i="6"/>
  <c r="AV19" i="6"/>
  <c r="AR11" i="17" l="1"/>
  <c r="AU10" i="17"/>
  <c r="AV10" i="17" s="1"/>
  <c r="H11" i="17"/>
  <c r="AS11" i="17" s="1"/>
  <c r="BA11" i="17"/>
  <c r="BC11" i="17" s="1"/>
  <c r="G12" i="17"/>
  <c r="AY11" i="16"/>
  <c r="BB10" i="16"/>
  <c r="BC10" i="16" s="1"/>
  <c r="H11" i="16"/>
  <c r="AZ11" i="16" s="1"/>
  <c r="BH11" i="16"/>
  <c r="BJ11" i="16" s="1"/>
  <c r="G12" i="16"/>
  <c r="BC13" i="15"/>
  <c r="BB14" i="15"/>
  <c r="H15" i="15"/>
  <c r="AZ15" i="15" s="1"/>
  <c r="BH15" i="15"/>
  <c r="BJ15" i="15"/>
  <c r="G16" i="15"/>
  <c r="AY14" i="15"/>
  <c r="W29" i="14"/>
  <c r="X28" i="14"/>
  <c r="AQ13" i="14"/>
  <c r="AR12" i="14"/>
  <c r="O33" i="14"/>
  <c r="P32" i="14"/>
  <c r="AT11" i="14"/>
  <c r="AU11" i="14" s="1"/>
  <c r="AV11" i="14" s="1"/>
  <c r="AM25" i="14"/>
  <c r="AN24" i="14"/>
  <c r="BA12" i="14"/>
  <c r="G13" i="14"/>
  <c r="BC12" i="14"/>
  <c r="H12" i="14"/>
  <c r="AS12" i="14" s="1"/>
  <c r="W15" i="13"/>
  <c r="X14" i="13"/>
  <c r="AU17" i="13"/>
  <c r="AV16" i="13"/>
  <c r="AE27" i="13"/>
  <c r="AF26" i="13"/>
  <c r="BA11" i="13"/>
  <c r="BB11" i="13" s="1"/>
  <c r="BC11" i="13" s="1"/>
  <c r="BH12" i="13"/>
  <c r="BJ12" i="13" s="1"/>
  <c r="G13" i="13"/>
  <c r="H12" i="13"/>
  <c r="AZ12" i="13" s="1"/>
  <c r="AX14" i="13"/>
  <c r="AY13" i="13"/>
  <c r="AU21" i="6"/>
  <c r="AV20" i="6"/>
  <c r="AR12" i="17" l="1"/>
  <c r="AU11" i="17"/>
  <c r="AV11" i="17" s="1"/>
  <c r="H12" i="17"/>
  <c r="AS12" i="17" s="1"/>
  <c r="BA12" i="17"/>
  <c r="BC12" i="17" s="1"/>
  <c r="G13" i="17"/>
  <c r="AY12" i="16"/>
  <c r="BB11" i="16"/>
  <c r="BC11" i="16" s="1"/>
  <c r="H12" i="16"/>
  <c r="AZ12" i="16" s="1"/>
  <c r="BH12" i="16"/>
  <c r="BJ12" i="16" s="1"/>
  <c r="G13" i="16"/>
  <c r="BC14" i="15"/>
  <c r="BB15" i="15"/>
  <c r="H16" i="15"/>
  <c r="AZ16" i="15" s="1"/>
  <c r="BH16" i="15"/>
  <c r="BJ16" i="15" s="1"/>
  <c r="G17" i="15"/>
  <c r="AY15" i="15"/>
  <c r="AT12" i="14"/>
  <c r="AU12" i="14" s="1"/>
  <c r="AV12" i="14" s="1"/>
  <c r="O34" i="14"/>
  <c r="P34" i="14" s="1"/>
  <c r="P33" i="14"/>
  <c r="G14" i="14"/>
  <c r="BA13" i="14"/>
  <c r="BC13" i="14" s="1"/>
  <c r="H13" i="14"/>
  <c r="AS13" i="14" s="1"/>
  <c r="AR13" i="14"/>
  <c r="AQ14" i="14"/>
  <c r="AM26" i="14"/>
  <c r="AN25" i="14"/>
  <c r="W30" i="14"/>
  <c r="X29" i="14"/>
  <c r="AY14" i="13"/>
  <c r="AX15" i="13"/>
  <c r="AE28" i="13"/>
  <c r="AF27" i="13"/>
  <c r="BH13" i="13"/>
  <c r="BJ13" i="13" s="1"/>
  <c r="G14" i="13"/>
  <c r="H13" i="13"/>
  <c r="AZ13" i="13" s="1"/>
  <c r="BA12" i="13"/>
  <c r="BB12" i="13"/>
  <c r="BC12" i="13" s="1"/>
  <c r="AU18" i="13"/>
  <c r="AV17" i="13"/>
  <c r="W16" i="13"/>
  <c r="X15" i="13"/>
  <c r="AU22" i="6"/>
  <c r="AV21" i="6"/>
  <c r="AR13" i="17" l="1"/>
  <c r="AU12" i="17"/>
  <c r="AV12" i="17" s="1"/>
  <c r="H13" i="17"/>
  <c r="AS13" i="17" s="1"/>
  <c r="BA13" i="17"/>
  <c r="BC13" i="17"/>
  <c r="G14" i="17"/>
  <c r="AY13" i="16"/>
  <c r="BB12" i="16"/>
  <c r="BC12" i="16" s="1"/>
  <c r="H13" i="16"/>
  <c r="AZ13" i="16" s="1"/>
  <c r="BH13" i="16"/>
  <c r="BJ13" i="16" s="1"/>
  <c r="G14" i="16"/>
  <c r="BC15" i="15"/>
  <c r="BB16" i="15"/>
  <c r="H17" i="15"/>
  <c r="AZ17" i="15" s="1"/>
  <c r="BH17" i="15"/>
  <c r="BJ17" i="15" s="1"/>
  <c r="G18" i="15"/>
  <c r="AY16" i="15"/>
  <c r="AT13" i="14"/>
  <c r="AU13" i="14" s="1"/>
  <c r="AV13" i="14" s="1"/>
  <c r="W31" i="14"/>
  <c r="X30" i="14"/>
  <c r="G15" i="14"/>
  <c r="BA14" i="14"/>
  <c r="BC14" i="14" s="1"/>
  <c r="H14" i="14"/>
  <c r="AS14" i="14" s="1"/>
  <c r="AM27" i="14"/>
  <c r="AN26" i="14"/>
  <c r="AR14" i="14"/>
  <c r="AQ15" i="14"/>
  <c r="BA13" i="13"/>
  <c r="BB13" i="13"/>
  <c r="BC13" i="13" s="1"/>
  <c r="BH14" i="13"/>
  <c r="BJ14" i="13" s="1"/>
  <c r="G15" i="13"/>
  <c r="H14" i="13"/>
  <c r="AZ14" i="13" s="1"/>
  <c r="AU19" i="13"/>
  <c r="AV18" i="13"/>
  <c r="AY15" i="13"/>
  <c r="AX16" i="13"/>
  <c r="W17" i="13"/>
  <c r="X16" i="13"/>
  <c r="AE29" i="13"/>
  <c r="AF28" i="13"/>
  <c r="AU23" i="6"/>
  <c r="AV22" i="6"/>
  <c r="AR14" i="17" l="1"/>
  <c r="AU13" i="17"/>
  <c r="AV13" i="17" s="1"/>
  <c r="H14" i="17"/>
  <c r="AS14" i="17" s="1"/>
  <c r="BA14" i="17"/>
  <c r="BC14" i="17" s="1"/>
  <c r="G15" i="17"/>
  <c r="AY14" i="16"/>
  <c r="BB13" i="16"/>
  <c r="BC13" i="16" s="1"/>
  <c r="H14" i="16"/>
  <c r="AZ14" i="16" s="1"/>
  <c r="BH14" i="16"/>
  <c r="BJ14" i="16" s="1"/>
  <c r="G15" i="16"/>
  <c r="BC16" i="15"/>
  <c r="BB17" i="15"/>
  <c r="H18" i="15"/>
  <c r="AZ18" i="15" s="1"/>
  <c r="BH18" i="15"/>
  <c r="BJ18" i="15" s="1"/>
  <c r="G19" i="15"/>
  <c r="AY17" i="15"/>
  <c r="AT14" i="14"/>
  <c r="AU14" i="14" s="1"/>
  <c r="AV14" i="14" s="1"/>
  <c r="X31" i="14"/>
  <c r="W32" i="14"/>
  <c r="AR15" i="14"/>
  <c r="AQ16" i="14"/>
  <c r="G16" i="14"/>
  <c r="BA15" i="14"/>
  <c r="BC15" i="14" s="1"/>
  <c r="H15" i="14"/>
  <c r="AS15" i="14" s="1"/>
  <c r="AM28" i="14"/>
  <c r="AN27" i="14"/>
  <c r="AU20" i="13"/>
  <c r="AV19" i="13"/>
  <c r="AE30" i="13"/>
  <c r="AF29" i="13"/>
  <c r="BA14" i="13"/>
  <c r="BB14" i="13" s="1"/>
  <c r="BC14" i="13" s="1"/>
  <c r="BH15" i="13"/>
  <c r="BJ15" i="13" s="1"/>
  <c r="G16" i="13"/>
  <c r="H15" i="13"/>
  <c r="AZ15" i="13" s="1"/>
  <c r="W18" i="13"/>
  <c r="X17" i="13"/>
  <c r="AY16" i="13"/>
  <c r="AX17" i="13"/>
  <c r="AU24" i="6"/>
  <c r="AV23" i="6"/>
  <c r="AR15" i="17" l="1"/>
  <c r="AU14" i="17"/>
  <c r="AV14" i="17" s="1"/>
  <c r="H15" i="17"/>
  <c r="AS15" i="17" s="1"/>
  <c r="BA15" i="17"/>
  <c r="BC15" i="17" s="1"/>
  <c r="G16" i="17"/>
  <c r="AY15" i="16"/>
  <c r="BB14" i="16"/>
  <c r="BC14" i="16" s="1"/>
  <c r="H15" i="16"/>
  <c r="AZ15" i="16" s="1"/>
  <c r="BH15" i="16"/>
  <c r="BJ15" i="16" s="1"/>
  <c r="G16" i="16"/>
  <c r="BC17" i="15"/>
  <c r="BB18" i="15"/>
  <c r="H19" i="15"/>
  <c r="AZ19" i="15" s="1"/>
  <c r="BH19" i="15"/>
  <c r="BJ19" i="15" s="1"/>
  <c r="G20" i="15"/>
  <c r="AY18" i="15"/>
  <c r="BA16" i="14"/>
  <c r="G17" i="14"/>
  <c r="BC16" i="14"/>
  <c r="H16" i="14"/>
  <c r="AS16" i="14" s="1"/>
  <c r="AR16" i="14"/>
  <c r="AQ17" i="14"/>
  <c r="W33" i="14"/>
  <c r="X32" i="14"/>
  <c r="AM29" i="14"/>
  <c r="AN28" i="14"/>
  <c r="AT15" i="14"/>
  <c r="AU15" i="14" s="1"/>
  <c r="AV15" i="14" s="1"/>
  <c r="G17" i="13"/>
  <c r="BH16" i="13"/>
  <c r="BJ16" i="13" s="1"/>
  <c r="H16" i="13"/>
  <c r="AZ16" i="13" s="1"/>
  <c r="AE31" i="13"/>
  <c r="AF30" i="13"/>
  <c r="W19" i="13"/>
  <c r="X18" i="13"/>
  <c r="AX18" i="13"/>
  <c r="AY17" i="13"/>
  <c r="BA15" i="13"/>
  <c r="BB15" i="13" s="1"/>
  <c r="BC15" i="13" s="1"/>
  <c r="AU21" i="13"/>
  <c r="AV20" i="13"/>
  <c r="AU25" i="6"/>
  <c r="AV24" i="6"/>
  <c r="AR16" i="17" l="1"/>
  <c r="AU15" i="17"/>
  <c r="AV15" i="17" s="1"/>
  <c r="H16" i="17"/>
  <c r="AS16" i="17" s="1"/>
  <c r="BA16" i="17"/>
  <c r="BC16" i="17" s="1"/>
  <c r="G17" i="17"/>
  <c r="AY16" i="16"/>
  <c r="BB15" i="16"/>
  <c r="BC15" i="16" s="1"/>
  <c r="H16" i="16"/>
  <c r="AZ16" i="16" s="1"/>
  <c r="BH16" i="16"/>
  <c r="BJ16" i="16" s="1"/>
  <c r="G17" i="16"/>
  <c r="BC18" i="15"/>
  <c r="BB19" i="15"/>
  <c r="H20" i="15"/>
  <c r="AZ20" i="15" s="1"/>
  <c r="BH20" i="15"/>
  <c r="BJ20" i="15" s="1"/>
  <c r="G21" i="15"/>
  <c r="AY19" i="15"/>
  <c r="W34" i="14"/>
  <c r="X34" i="14" s="1"/>
  <c r="X33" i="14"/>
  <c r="AQ18" i="14"/>
  <c r="AR17" i="14"/>
  <c r="AT16" i="14"/>
  <c r="AU16" i="14" s="1"/>
  <c r="AV16" i="14" s="1"/>
  <c r="BA17" i="14"/>
  <c r="BC17" i="14" s="1"/>
  <c r="G18" i="14"/>
  <c r="H17" i="14"/>
  <c r="AS17" i="14" s="1"/>
  <c r="AM30" i="14"/>
  <c r="AN29" i="14"/>
  <c r="W20" i="13"/>
  <c r="X19" i="13"/>
  <c r="AU22" i="13"/>
  <c r="AV21" i="13"/>
  <c r="AE32" i="13"/>
  <c r="AF31" i="13"/>
  <c r="BA16" i="13"/>
  <c r="BB16" i="13" s="1"/>
  <c r="BC16" i="13" s="1"/>
  <c r="AX19" i="13"/>
  <c r="AY18" i="13"/>
  <c r="G18" i="13"/>
  <c r="BH17" i="13"/>
  <c r="BJ17" i="13" s="1"/>
  <c r="H17" i="13"/>
  <c r="AZ17" i="13" s="1"/>
  <c r="AU26" i="6"/>
  <c r="AV25" i="6"/>
  <c r="AR17" i="17" l="1"/>
  <c r="AU16" i="17"/>
  <c r="AV16" i="17" s="1"/>
  <c r="H17" i="17"/>
  <c r="AS17" i="17" s="1"/>
  <c r="BA17" i="17"/>
  <c r="BC17" i="17" s="1"/>
  <c r="G18" i="17"/>
  <c r="AY17" i="16"/>
  <c r="BB16" i="16"/>
  <c r="BC16" i="16" s="1"/>
  <c r="H17" i="16"/>
  <c r="AZ17" i="16" s="1"/>
  <c r="BH17" i="16"/>
  <c r="BJ17" i="16"/>
  <c r="G18" i="16"/>
  <c r="BC19" i="15"/>
  <c r="BB20" i="15"/>
  <c r="H21" i="15"/>
  <c r="AZ21" i="15" s="1"/>
  <c r="BH21" i="15"/>
  <c r="BJ21" i="15" s="1"/>
  <c r="G22" i="15"/>
  <c r="AY20" i="15"/>
  <c r="G19" i="14"/>
  <c r="BA18" i="14"/>
  <c r="BC18" i="14"/>
  <c r="H18" i="14"/>
  <c r="AS18" i="14" s="1"/>
  <c r="AT17" i="14"/>
  <c r="AU17" i="14" s="1"/>
  <c r="AV17" i="14" s="1"/>
  <c r="AM31" i="14"/>
  <c r="AN30" i="14"/>
  <c r="AR18" i="14"/>
  <c r="AQ19" i="14"/>
  <c r="AE33" i="13"/>
  <c r="AF32" i="13"/>
  <c r="BA17" i="13"/>
  <c r="BB17" i="13"/>
  <c r="BC17" i="13" s="1"/>
  <c r="G19" i="13"/>
  <c r="BH18" i="13"/>
  <c r="BJ18" i="13" s="1"/>
  <c r="H18" i="13"/>
  <c r="AZ18" i="13" s="1"/>
  <c r="AU23" i="13"/>
  <c r="AV22" i="13"/>
  <c r="AY19" i="13"/>
  <c r="AX20" i="13"/>
  <c r="W21" i="13"/>
  <c r="X20" i="13"/>
  <c r="AU27" i="6"/>
  <c r="AV26" i="6"/>
  <c r="AR18" i="17" l="1"/>
  <c r="AU17" i="17"/>
  <c r="AV17" i="17" s="1"/>
  <c r="H18" i="17"/>
  <c r="AS18" i="17" s="1"/>
  <c r="BA18" i="17"/>
  <c r="BC18" i="17" s="1"/>
  <c r="G19" i="17"/>
  <c r="AY18" i="16"/>
  <c r="BB17" i="16"/>
  <c r="BC17" i="16" s="1"/>
  <c r="H18" i="16"/>
  <c r="AZ18" i="16" s="1"/>
  <c r="BH18" i="16"/>
  <c r="BJ18" i="16" s="1"/>
  <c r="G19" i="16"/>
  <c r="BC20" i="15"/>
  <c r="BB21" i="15"/>
  <c r="H22" i="15"/>
  <c r="AZ22" i="15" s="1"/>
  <c r="BH22" i="15"/>
  <c r="BJ22" i="15" s="1"/>
  <c r="G23" i="15"/>
  <c r="AY21" i="15"/>
  <c r="AM32" i="14"/>
  <c r="AN31" i="14"/>
  <c r="AT18" i="14"/>
  <c r="AU18" i="14"/>
  <c r="AV18" i="14" s="1"/>
  <c r="AQ20" i="14"/>
  <c r="AR19" i="14"/>
  <c r="G20" i="14"/>
  <c r="BA19" i="14"/>
  <c r="BC19" i="14" s="1"/>
  <c r="H19" i="14"/>
  <c r="AS19" i="14" s="1"/>
  <c r="AY20" i="13"/>
  <c r="AX21" i="13"/>
  <c r="BA18" i="13"/>
  <c r="BB18" i="13" s="1"/>
  <c r="BC18" i="13" s="1"/>
  <c r="W22" i="13"/>
  <c r="X21" i="13"/>
  <c r="G20" i="13"/>
  <c r="BH19" i="13"/>
  <c r="BJ19" i="13" s="1"/>
  <c r="H19" i="13"/>
  <c r="AZ19" i="13" s="1"/>
  <c r="AU24" i="13"/>
  <c r="AV23" i="13"/>
  <c r="AE34" i="13"/>
  <c r="AF33" i="13"/>
  <c r="AU28" i="6"/>
  <c r="AV27" i="6"/>
  <c r="AR19" i="17" l="1"/>
  <c r="AU18" i="17"/>
  <c r="AV18" i="17" s="1"/>
  <c r="H19" i="17"/>
  <c r="AS19" i="17" s="1"/>
  <c r="BA19" i="17"/>
  <c r="BC19" i="17" s="1"/>
  <c r="G20" i="17"/>
  <c r="AY19" i="16"/>
  <c r="BB18" i="16"/>
  <c r="BC18" i="16" s="1"/>
  <c r="H19" i="16"/>
  <c r="AZ19" i="16" s="1"/>
  <c r="BH19" i="16"/>
  <c r="BJ19" i="16" s="1"/>
  <c r="G20" i="16"/>
  <c r="BC21" i="15"/>
  <c r="BB22" i="15"/>
  <c r="H23" i="15"/>
  <c r="AZ23" i="15" s="1"/>
  <c r="BH23" i="15"/>
  <c r="G24" i="15"/>
  <c r="BJ23" i="15"/>
  <c r="AY22" i="15"/>
  <c r="G21" i="14"/>
  <c r="BA20" i="14"/>
  <c r="BC20" i="14"/>
  <c r="H20" i="14"/>
  <c r="AS20" i="14" s="1"/>
  <c r="AR20" i="14"/>
  <c r="AQ21" i="14"/>
  <c r="AT19" i="14"/>
  <c r="AU19" i="14" s="1"/>
  <c r="AV19" i="14" s="1"/>
  <c r="AM33" i="14"/>
  <c r="AN32" i="14"/>
  <c r="W23" i="13"/>
  <c r="X22" i="13"/>
  <c r="BH20" i="13"/>
  <c r="BJ20" i="13" s="1"/>
  <c r="G21" i="13"/>
  <c r="H20" i="13"/>
  <c r="AZ20" i="13" s="1"/>
  <c r="AF34" i="13"/>
  <c r="AU25" i="13"/>
  <c r="AV24" i="13"/>
  <c r="BA19" i="13"/>
  <c r="BB19" i="13" s="1"/>
  <c r="BC19" i="13" s="1"/>
  <c r="AY21" i="13"/>
  <c r="AX22" i="13"/>
  <c r="AU29" i="6"/>
  <c r="AV28" i="6"/>
  <c r="AR20" i="17" l="1"/>
  <c r="AU19" i="17"/>
  <c r="AV19" i="17" s="1"/>
  <c r="H20" i="17"/>
  <c r="AS20" i="17" s="1"/>
  <c r="BA20" i="17"/>
  <c r="BC20" i="17" s="1"/>
  <c r="G21" i="17"/>
  <c r="AY20" i="16"/>
  <c r="BB19" i="16"/>
  <c r="BC19" i="16" s="1"/>
  <c r="H20" i="16"/>
  <c r="AZ20" i="16" s="1"/>
  <c r="BH20" i="16"/>
  <c r="BJ20" i="16" s="1"/>
  <c r="G21" i="16"/>
  <c r="BC22" i="15"/>
  <c r="BB23" i="15"/>
  <c r="H24" i="15"/>
  <c r="AZ24" i="15" s="1"/>
  <c r="G25" i="15"/>
  <c r="BH24" i="15"/>
  <c r="BJ24" i="15" s="1"/>
  <c r="AY23" i="15"/>
  <c r="AQ22" i="14"/>
  <c r="AR21" i="14"/>
  <c r="AT20" i="14"/>
  <c r="AU20" i="14" s="1"/>
  <c r="AV20" i="14" s="1"/>
  <c r="AM34" i="14"/>
  <c r="AN33" i="14"/>
  <c r="BA21" i="14"/>
  <c r="BC21" i="14" s="1"/>
  <c r="G22" i="14"/>
  <c r="H21" i="14"/>
  <c r="AS21" i="14" s="1"/>
  <c r="AY22" i="13"/>
  <c r="AX23" i="13"/>
  <c r="BA20" i="13"/>
  <c r="BB20" i="13" s="1"/>
  <c r="BC20" i="13" s="1"/>
  <c r="BH21" i="13"/>
  <c r="BJ21" i="13" s="1"/>
  <c r="G22" i="13"/>
  <c r="H21" i="13"/>
  <c r="AZ21" i="13" s="1"/>
  <c r="AU26" i="13"/>
  <c r="AV25" i="13"/>
  <c r="W24" i="13"/>
  <c r="X23" i="13"/>
  <c r="AU30" i="6"/>
  <c r="AV29" i="6"/>
  <c r="AR21" i="17" l="1"/>
  <c r="AU20" i="17"/>
  <c r="AV20" i="17" s="1"/>
  <c r="H21" i="17"/>
  <c r="AS21" i="17" s="1"/>
  <c r="BA21" i="17"/>
  <c r="BC21" i="17" s="1"/>
  <c r="G22" i="17"/>
  <c r="AY21" i="16"/>
  <c r="BB20" i="16"/>
  <c r="BC20" i="16" s="1"/>
  <c r="H21" i="16"/>
  <c r="AZ21" i="16" s="1"/>
  <c r="BH21" i="16"/>
  <c r="BJ21" i="16" s="1"/>
  <c r="G22" i="16"/>
  <c r="BC23" i="15"/>
  <c r="BB24" i="15"/>
  <c r="H25" i="15"/>
  <c r="AZ25" i="15" s="1"/>
  <c r="G26" i="15"/>
  <c r="BH25" i="15"/>
  <c r="BJ25" i="15" s="1"/>
  <c r="AY24" i="15"/>
  <c r="AN34" i="14"/>
  <c r="AT21" i="14"/>
  <c r="AU21" i="14" s="1"/>
  <c r="AV21" i="14" s="1"/>
  <c r="G23" i="14"/>
  <c r="BA22" i="14"/>
  <c r="BC22" i="14" s="1"/>
  <c r="H22" i="14"/>
  <c r="AS22" i="14" s="1"/>
  <c r="AQ23" i="14"/>
  <c r="AR22" i="14"/>
  <c r="BH22" i="13"/>
  <c r="BJ22" i="13" s="1"/>
  <c r="G23" i="13"/>
  <c r="H22" i="13"/>
  <c r="AZ22" i="13" s="1"/>
  <c r="BA21" i="13"/>
  <c r="BB21" i="13" s="1"/>
  <c r="BC21" i="13" s="1"/>
  <c r="W25" i="13"/>
  <c r="X24" i="13"/>
  <c r="AY23" i="13"/>
  <c r="AX24" i="13"/>
  <c r="AU27" i="13"/>
  <c r="AV26" i="13"/>
  <c r="AU31" i="6"/>
  <c r="AV30" i="6"/>
  <c r="AR22" i="17" l="1"/>
  <c r="AU21" i="17"/>
  <c r="AV21" i="17" s="1"/>
  <c r="H22" i="17"/>
  <c r="AS22" i="17" s="1"/>
  <c r="BA22" i="17"/>
  <c r="BC22" i="17" s="1"/>
  <c r="G23" i="17"/>
  <c r="AY22" i="16"/>
  <c r="BB21" i="16"/>
  <c r="BC21" i="16" s="1"/>
  <c r="H22" i="16"/>
  <c r="AZ22" i="16" s="1"/>
  <c r="BH22" i="16"/>
  <c r="BJ22" i="16" s="1"/>
  <c r="G23" i="16"/>
  <c r="BC24" i="15"/>
  <c r="BB25" i="15"/>
  <c r="H26" i="15"/>
  <c r="AZ26" i="15" s="1"/>
  <c r="G27" i="15"/>
  <c r="BH26" i="15"/>
  <c r="BJ26" i="15" s="1"/>
  <c r="AY25" i="15"/>
  <c r="AT22" i="14"/>
  <c r="AU22" i="14" s="1"/>
  <c r="AV22" i="14" s="1"/>
  <c r="BA23" i="14"/>
  <c r="BC23" i="14" s="1"/>
  <c r="G24" i="14"/>
  <c r="H23" i="14"/>
  <c r="AS23" i="14" s="1"/>
  <c r="AR23" i="14"/>
  <c r="AQ24" i="14"/>
  <c r="W26" i="13"/>
  <c r="X25" i="13"/>
  <c r="BA22" i="13"/>
  <c r="BB22" i="13" s="1"/>
  <c r="BC22" i="13" s="1"/>
  <c r="AV27" i="13"/>
  <c r="AU28" i="13"/>
  <c r="AY24" i="13"/>
  <c r="AX25" i="13"/>
  <c r="G24" i="13"/>
  <c r="BH23" i="13"/>
  <c r="BJ23" i="13" s="1"/>
  <c r="H23" i="13"/>
  <c r="AZ23" i="13" s="1"/>
  <c r="AU32" i="6"/>
  <c r="AV31" i="6"/>
  <c r="AR23" i="17" l="1"/>
  <c r="AU22" i="17"/>
  <c r="AV22" i="17" s="1"/>
  <c r="H23" i="17"/>
  <c r="AS23" i="17" s="1"/>
  <c r="BA23" i="17"/>
  <c r="BC23" i="17" s="1"/>
  <c r="G24" i="17"/>
  <c r="AY23" i="16"/>
  <c r="BB22" i="16"/>
  <c r="BC22" i="16" s="1"/>
  <c r="H23" i="16"/>
  <c r="AZ23" i="16" s="1"/>
  <c r="BH23" i="16"/>
  <c r="BJ23" i="16" s="1"/>
  <c r="G24" i="16"/>
  <c r="BC25" i="15"/>
  <c r="BB26" i="15"/>
  <c r="H27" i="15"/>
  <c r="AZ27" i="15" s="1"/>
  <c r="BH27" i="15"/>
  <c r="BJ27" i="15" s="1"/>
  <c r="G28" i="15"/>
  <c r="AY26" i="15"/>
  <c r="AQ25" i="14"/>
  <c r="AR24" i="14"/>
  <c r="AT23" i="14"/>
  <c r="AU23" i="14" s="1"/>
  <c r="AV23" i="14" s="1"/>
  <c r="BA24" i="14"/>
  <c r="BC24" i="14" s="1"/>
  <c r="G25" i="14"/>
  <c r="H24" i="14"/>
  <c r="AS24" i="14" s="1"/>
  <c r="AY25" i="13"/>
  <c r="AX26" i="13"/>
  <c r="AU29" i="13"/>
  <c r="AV28" i="13"/>
  <c r="BA23" i="13"/>
  <c r="BB23" i="13" s="1"/>
  <c r="BC23" i="13" s="1"/>
  <c r="G25" i="13"/>
  <c r="H24" i="13"/>
  <c r="AZ24" i="13" s="1"/>
  <c r="BH24" i="13"/>
  <c r="BJ24" i="13" s="1"/>
  <c r="W27" i="13"/>
  <c r="X26" i="13"/>
  <c r="AU33" i="6"/>
  <c r="AV32" i="6"/>
  <c r="AR24" i="17" l="1"/>
  <c r="AU23" i="17"/>
  <c r="AV23" i="17" s="1"/>
  <c r="H24" i="17"/>
  <c r="AS24" i="17" s="1"/>
  <c r="G25" i="17"/>
  <c r="BA24" i="17"/>
  <c r="BC24" i="17" s="1"/>
  <c r="AY24" i="16"/>
  <c r="BB23" i="16"/>
  <c r="BC23" i="16" s="1"/>
  <c r="H24" i="16"/>
  <c r="AZ24" i="16" s="1"/>
  <c r="BH24" i="16"/>
  <c r="BJ24" i="16" s="1"/>
  <c r="G25" i="16"/>
  <c r="BC26" i="15"/>
  <c r="BB27" i="15"/>
  <c r="H28" i="15"/>
  <c r="AZ28" i="15" s="1"/>
  <c r="BH28" i="15"/>
  <c r="BJ28" i="15" s="1"/>
  <c r="G29" i="15"/>
  <c r="AY27" i="15"/>
  <c r="AT24" i="14"/>
  <c r="AU24" i="14" s="1"/>
  <c r="AV24" i="14" s="1"/>
  <c r="G26" i="14"/>
  <c r="BA25" i="14"/>
  <c r="BC25" i="14" s="1"/>
  <c r="H25" i="14"/>
  <c r="AS25" i="14" s="1"/>
  <c r="AQ26" i="14"/>
  <c r="AR25" i="14"/>
  <c r="BA24" i="13"/>
  <c r="BB24" i="13" s="1"/>
  <c r="BC24" i="13" s="1"/>
  <c r="G26" i="13"/>
  <c r="BH25" i="13"/>
  <c r="BJ25" i="13" s="1"/>
  <c r="H25" i="13"/>
  <c r="AZ25" i="13" s="1"/>
  <c r="W28" i="13"/>
  <c r="X27" i="13"/>
  <c r="AU30" i="13"/>
  <c r="AV29" i="13"/>
  <c r="AY26" i="13"/>
  <c r="AX27" i="13"/>
  <c r="AU34" i="6"/>
  <c r="AV33" i="6"/>
  <c r="AR25" i="17" l="1"/>
  <c r="AU24" i="17"/>
  <c r="AV24" i="17" s="1"/>
  <c r="H25" i="17"/>
  <c r="AS25" i="17" s="1"/>
  <c r="G26" i="17"/>
  <c r="BA25" i="17"/>
  <c r="BC25" i="17" s="1"/>
  <c r="AY25" i="16"/>
  <c r="BB24" i="16"/>
  <c r="BC24" i="16" s="1"/>
  <c r="H25" i="16"/>
  <c r="AZ25" i="16" s="1"/>
  <c r="BH25" i="16"/>
  <c r="BJ25" i="16" s="1"/>
  <c r="G26" i="16"/>
  <c r="BC27" i="15"/>
  <c r="BB28" i="15"/>
  <c r="H29" i="15"/>
  <c r="AZ29" i="15" s="1"/>
  <c r="BH29" i="15"/>
  <c r="BJ29" i="15" s="1"/>
  <c r="G30" i="15"/>
  <c r="AY28" i="15"/>
  <c r="AT25" i="14"/>
  <c r="AU25" i="14" s="1"/>
  <c r="AV25" i="14" s="1"/>
  <c r="AR26" i="14"/>
  <c r="AQ27" i="14"/>
  <c r="G27" i="14"/>
  <c r="BA26" i="14"/>
  <c r="BC26" i="14"/>
  <c r="H26" i="14"/>
  <c r="AS26" i="14" s="1"/>
  <c r="W29" i="13"/>
  <c r="X28" i="13"/>
  <c r="BA25" i="13"/>
  <c r="BB25" i="13" s="1"/>
  <c r="BC25" i="13" s="1"/>
  <c r="AY27" i="13"/>
  <c r="AX28" i="13"/>
  <c r="G27" i="13"/>
  <c r="BH26" i="13"/>
  <c r="BJ26" i="13" s="1"/>
  <c r="H26" i="13"/>
  <c r="AZ26" i="13" s="1"/>
  <c r="AU31" i="13"/>
  <c r="AV30" i="13"/>
  <c r="AU35" i="6"/>
  <c r="AV34" i="6"/>
  <c r="AR26" i="17" l="1"/>
  <c r="AU25" i="17"/>
  <c r="AV25" i="17" s="1"/>
  <c r="H26" i="17"/>
  <c r="AS26" i="17" s="1"/>
  <c r="G27" i="17"/>
  <c r="BA26" i="17"/>
  <c r="BC26" i="17" s="1"/>
  <c r="AY26" i="16"/>
  <c r="BB25" i="16"/>
  <c r="BC25" i="16" s="1"/>
  <c r="H26" i="16"/>
  <c r="AZ26" i="16" s="1"/>
  <c r="G27" i="16"/>
  <c r="BH26" i="16"/>
  <c r="BJ26" i="16"/>
  <c r="BB29" i="15"/>
  <c r="H30" i="15"/>
  <c r="AZ30" i="15" s="1"/>
  <c r="BH30" i="15"/>
  <c r="BJ30" i="15" s="1"/>
  <c r="G31" i="15"/>
  <c r="AY29" i="15"/>
  <c r="BC28" i="15"/>
  <c r="AT26" i="14"/>
  <c r="AU26" i="14"/>
  <c r="AV26" i="14" s="1"/>
  <c r="BA27" i="14"/>
  <c r="G28" i="14"/>
  <c r="BC27" i="14"/>
  <c r="H27" i="14"/>
  <c r="AS27" i="14" s="1"/>
  <c r="AQ28" i="14"/>
  <c r="AR27" i="14"/>
  <c r="BH27" i="13"/>
  <c r="BJ27" i="13" s="1"/>
  <c r="G28" i="13"/>
  <c r="H27" i="13"/>
  <c r="AZ27" i="13" s="1"/>
  <c r="AY28" i="13"/>
  <c r="AX29" i="13"/>
  <c r="AU32" i="13"/>
  <c r="AV31" i="13"/>
  <c r="BA26" i="13"/>
  <c r="BB26" i="13" s="1"/>
  <c r="BC26" i="13" s="1"/>
  <c r="W30" i="13"/>
  <c r="X29" i="13"/>
  <c r="AU36" i="6"/>
  <c r="AV35" i="6"/>
  <c r="AR27" i="17" l="1"/>
  <c r="AU26" i="17"/>
  <c r="AV26" i="17" s="1"/>
  <c r="H27" i="17"/>
  <c r="AS27" i="17" s="1"/>
  <c r="G28" i="17"/>
  <c r="BA27" i="17"/>
  <c r="BC27" i="17" s="1"/>
  <c r="AY27" i="16"/>
  <c r="BB26" i="16"/>
  <c r="BC26" i="16" s="1"/>
  <c r="H27" i="16"/>
  <c r="AZ27" i="16" s="1"/>
  <c r="G28" i="16"/>
  <c r="BH27" i="16"/>
  <c r="BJ27" i="16" s="1"/>
  <c r="BB30" i="15"/>
  <c r="H31" i="15"/>
  <c r="AZ31" i="15" s="1"/>
  <c r="BH31" i="15"/>
  <c r="BJ31" i="15" s="1"/>
  <c r="G32" i="15"/>
  <c r="AY30" i="15"/>
  <c r="BC29" i="15"/>
  <c r="AQ29" i="14"/>
  <c r="AR28" i="14"/>
  <c r="AT27" i="14"/>
  <c r="AU27" i="14" s="1"/>
  <c r="AV27" i="14" s="1"/>
  <c r="G29" i="14"/>
  <c r="BA28" i="14"/>
  <c r="BC28" i="14" s="1"/>
  <c r="H28" i="14"/>
  <c r="AS28" i="14" s="1"/>
  <c r="AU33" i="13"/>
  <c r="AV32" i="13"/>
  <c r="AY29" i="13"/>
  <c r="AX30" i="13"/>
  <c r="BA27" i="13"/>
  <c r="BB27" i="13" s="1"/>
  <c r="BC27" i="13" s="1"/>
  <c r="W31" i="13"/>
  <c r="X30" i="13"/>
  <c r="BH28" i="13"/>
  <c r="BJ28" i="13" s="1"/>
  <c r="G29" i="13"/>
  <c r="H28" i="13"/>
  <c r="AZ28" i="13" s="1"/>
  <c r="AU37" i="6"/>
  <c r="AV37" i="6" s="1"/>
  <c r="AV36" i="6"/>
  <c r="AR28" i="17" l="1"/>
  <c r="AU27" i="17"/>
  <c r="AV27" i="17" s="1"/>
  <c r="H28" i="17"/>
  <c r="AS28" i="17" s="1"/>
  <c r="BA28" i="17"/>
  <c r="BC28" i="17" s="1"/>
  <c r="G29" i="17"/>
  <c r="AY28" i="16"/>
  <c r="BB27" i="16"/>
  <c r="BC27" i="16" s="1"/>
  <c r="H28" i="16"/>
  <c r="AZ28" i="16" s="1"/>
  <c r="BH28" i="16"/>
  <c r="BJ28" i="16" s="1"/>
  <c r="G29" i="16"/>
  <c r="BC30" i="15"/>
  <c r="BB31" i="15"/>
  <c r="H32" i="15"/>
  <c r="AZ32" i="15" s="1"/>
  <c r="BH32" i="15"/>
  <c r="BJ32" i="15" s="1"/>
  <c r="G33" i="15"/>
  <c r="AY31" i="15"/>
  <c r="AT28" i="14"/>
  <c r="AU28" i="14" s="1"/>
  <c r="AV28" i="14" s="1"/>
  <c r="BA29" i="14"/>
  <c r="BC29" i="14" s="1"/>
  <c r="G30" i="14"/>
  <c r="H29" i="14"/>
  <c r="AS29" i="14" s="1"/>
  <c r="AQ30" i="14"/>
  <c r="AR29" i="14"/>
  <c r="BA28" i="13"/>
  <c r="BB28" i="13" s="1"/>
  <c r="BC28" i="13" s="1"/>
  <c r="W32" i="13"/>
  <c r="X31" i="13"/>
  <c r="AY30" i="13"/>
  <c r="AX31" i="13"/>
  <c r="BH29" i="13"/>
  <c r="BJ29" i="13" s="1"/>
  <c r="G30" i="13"/>
  <c r="H29" i="13"/>
  <c r="AZ29" i="13" s="1"/>
  <c r="AU34" i="13"/>
  <c r="AV34" i="13" s="1"/>
  <c r="AV33" i="13"/>
  <c r="AR29" i="17" l="1"/>
  <c r="AU28" i="17"/>
  <c r="AV28" i="17" s="1"/>
  <c r="H29" i="17"/>
  <c r="AS29" i="17" s="1"/>
  <c r="G30" i="17"/>
  <c r="BA29" i="17"/>
  <c r="BC29" i="17" s="1"/>
  <c r="AY29" i="16"/>
  <c r="BB28" i="16"/>
  <c r="BC28" i="16" s="1"/>
  <c r="H29" i="16"/>
  <c r="AZ29" i="16" s="1"/>
  <c r="BH29" i="16"/>
  <c r="BJ29" i="16" s="1"/>
  <c r="G30" i="16"/>
  <c r="BB32" i="15"/>
  <c r="H33" i="15"/>
  <c r="AZ33" i="15" s="1"/>
  <c r="BH33" i="15"/>
  <c r="BJ33" i="15" s="1"/>
  <c r="G34" i="15"/>
  <c r="AY32" i="15"/>
  <c r="BC31" i="15"/>
  <c r="AT29" i="14"/>
  <c r="AU29" i="14"/>
  <c r="AV29" i="14" s="1"/>
  <c r="G31" i="14"/>
  <c r="BA30" i="14"/>
  <c r="BC30" i="14"/>
  <c r="H30" i="14"/>
  <c r="AS30" i="14" s="1"/>
  <c r="AQ31" i="14"/>
  <c r="AR30" i="14"/>
  <c r="BH30" i="13"/>
  <c r="BJ30" i="13" s="1"/>
  <c r="G31" i="13"/>
  <c r="H30" i="13"/>
  <c r="AZ30" i="13" s="1"/>
  <c r="AY31" i="13"/>
  <c r="AX32" i="13"/>
  <c r="W33" i="13"/>
  <c r="X32" i="13"/>
  <c r="BA29" i="13"/>
  <c r="BB29" i="13" s="1"/>
  <c r="BC29" i="13" s="1"/>
  <c r="AR30" i="17" l="1"/>
  <c r="AU29" i="17"/>
  <c r="AV29" i="17" s="1"/>
  <c r="H30" i="17"/>
  <c r="AS30" i="17" s="1"/>
  <c r="BC30" i="17"/>
  <c r="BA30" i="17"/>
  <c r="G31" i="17"/>
  <c r="AY30" i="16"/>
  <c r="BB29" i="16"/>
  <c r="BC29" i="16" s="1"/>
  <c r="H30" i="16"/>
  <c r="AZ30" i="16" s="1"/>
  <c r="G31" i="16"/>
  <c r="BH30" i="16"/>
  <c r="BJ30" i="16" s="1"/>
  <c r="BC32" i="15"/>
  <c r="BB33" i="15"/>
  <c r="H34" i="15"/>
  <c r="AZ34" i="15" s="1"/>
  <c r="BH34" i="15"/>
  <c r="BJ34" i="15" s="1"/>
  <c r="G35" i="15"/>
  <c r="AY33" i="15"/>
  <c r="AR31" i="14"/>
  <c r="AQ32" i="14"/>
  <c r="AT30" i="14"/>
  <c r="AU30" i="14" s="1"/>
  <c r="AV30" i="14" s="1"/>
  <c r="BA31" i="14"/>
  <c r="G32" i="14"/>
  <c r="BC31" i="14"/>
  <c r="H31" i="14"/>
  <c r="AS31" i="14" s="1"/>
  <c r="W34" i="13"/>
  <c r="X33" i="13"/>
  <c r="BA30" i="13"/>
  <c r="BB30" i="13" s="1"/>
  <c r="BC30" i="13" s="1"/>
  <c r="AY32" i="13"/>
  <c r="AX33" i="13"/>
  <c r="BH31" i="13"/>
  <c r="BJ31" i="13" s="1"/>
  <c r="G32" i="13"/>
  <c r="H31" i="13"/>
  <c r="AZ31" i="13" s="1"/>
  <c r="AR31" i="17" l="1"/>
  <c r="AU30" i="17"/>
  <c r="AV30" i="17" s="1"/>
  <c r="H31" i="17"/>
  <c r="AS31" i="17" s="1"/>
  <c r="BA31" i="17"/>
  <c r="BC31" i="17" s="1"/>
  <c r="G32" i="17"/>
  <c r="AY31" i="16"/>
  <c r="BB30" i="16"/>
  <c r="BC30" i="16" s="1"/>
  <c r="H31" i="16"/>
  <c r="AZ31" i="16" s="1"/>
  <c r="BH31" i="16"/>
  <c r="BJ31" i="16" s="1"/>
  <c r="G32" i="16"/>
  <c r="BC33" i="15"/>
  <c r="BB34" i="15"/>
  <c r="H35" i="15"/>
  <c r="AZ35" i="15" s="1"/>
  <c r="BH35" i="15"/>
  <c r="BJ35" i="15" s="1"/>
  <c r="G36" i="15"/>
  <c r="AY34" i="15"/>
  <c r="AT31" i="14"/>
  <c r="AU31" i="14"/>
  <c r="AV31" i="14" s="1"/>
  <c r="BA32" i="14"/>
  <c r="G33" i="14"/>
  <c r="BC32" i="14"/>
  <c r="H32" i="14"/>
  <c r="AS32" i="14" s="1"/>
  <c r="AR32" i="14"/>
  <c r="AQ33" i="14"/>
  <c r="G33" i="13"/>
  <c r="BH32" i="13"/>
  <c r="BJ32" i="13" s="1"/>
  <c r="H32" i="13"/>
  <c r="AZ32" i="13" s="1"/>
  <c r="AY33" i="13"/>
  <c r="AX34" i="13"/>
  <c r="AY34" i="13" s="1"/>
  <c r="BA31" i="13"/>
  <c r="BB31" i="13"/>
  <c r="BC31" i="13" s="1"/>
  <c r="X34" i="13"/>
  <c r="AR32" i="17" l="1"/>
  <c r="AU31" i="17"/>
  <c r="AV31" i="17" s="1"/>
  <c r="H32" i="17"/>
  <c r="AS32" i="17" s="1"/>
  <c r="BC32" i="17"/>
  <c r="BA32" i="17"/>
  <c r="G33" i="17"/>
  <c r="AY32" i="16"/>
  <c r="BB31" i="16"/>
  <c r="BC31" i="16" s="1"/>
  <c r="H32" i="16"/>
  <c r="AZ32" i="16" s="1"/>
  <c r="BH32" i="16"/>
  <c r="BJ32" i="16" s="1"/>
  <c r="G33" i="16"/>
  <c r="BB35" i="15"/>
  <c r="H36" i="15"/>
  <c r="AZ36" i="15" s="1"/>
  <c r="BH36" i="15"/>
  <c r="BJ36" i="15" s="1"/>
  <c r="G37" i="15"/>
  <c r="AY35" i="15"/>
  <c r="BC34" i="15"/>
  <c r="AQ34" i="14"/>
  <c r="AR34" i="14" s="1"/>
  <c r="AR33" i="14"/>
  <c r="G34" i="14"/>
  <c r="BA33" i="14"/>
  <c r="BC33" i="14" s="1"/>
  <c r="H33" i="14"/>
  <c r="AS33" i="14" s="1"/>
  <c r="AT32" i="14"/>
  <c r="AU32" i="14" s="1"/>
  <c r="AV32" i="14" s="1"/>
  <c r="BA32" i="13"/>
  <c r="BB32" i="13" s="1"/>
  <c r="BC32" i="13" s="1"/>
  <c r="G34" i="13"/>
  <c r="BH33" i="13"/>
  <c r="BJ33" i="13" s="1"/>
  <c r="H33" i="13"/>
  <c r="AZ33" i="13" s="1"/>
  <c r="AR33" i="17" l="1"/>
  <c r="AR34" i="17"/>
  <c r="AU32" i="17"/>
  <c r="AV32" i="17" s="1"/>
  <c r="H33" i="17"/>
  <c r="AS33" i="17" s="1"/>
  <c r="G34" i="17"/>
  <c r="BA33" i="17"/>
  <c r="BC33" i="17"/>
  <c r="AY33" i="16"/>
  <c r="AY34" i="16"/>
  <c r="BB32" i="16"/>
  <c r="BC32" i="16" s="1"/>
  <c r="H33" i="16"/>
  <c r="AZ33" i="16" s="1"/>
  <c r="BH33" i="16"/>
  <c r="BJ33" i="16" s="1"/>
  <c r="G34" i="16"/>
  <c r="BB36" i="15"/>
  <c r="H37" i="15"/>
  <c r="AZ37" i="15" s="1"/>
  <c r="BG7" i="15"/>
  <c r="BJ37" i="15"/>
  <c r="BH37" i="15"/>
  <c r="AY36" i="15"/>
  <c r="AY37" i="15"/>
  <c r="BC35" i="15"/>
  <c r="AT33" i="14"/>
  <c r="AU33" i="14" s="1"/>
  <c r="AV33" i="14" s="1"/>
  <c r="BA34" i="14"/>
  <c r="BC34" i="14" s="1"/>
  <c r="H34" i="14"/>
  <c r="AS34" i="14" s="1"/>
  <c r="AZ4" i="14"/>
  <c r="BA33" i="13"/>
  <c r="BB33" i="13" s="1"/>
  <c r="BC33" i="13" s="1"/>
  <c r="BH34" i="13"/>
  <c r="BJ34" i="13" s="1"/>
  <c r="H34" i="13"/>
  <c r="AZ34" i="13" s="1"/>
  <c r="BG4" i="13"/>
  <c r="AU33" i="17" l="1"/>
  <c r="AV33" i="17" s="1"/>
  <c r="AZ4" i="17"/>
  <c r="H34" i="17"/>
  <c r="AS34" i="17" s="1"/>
  <c r="BA34" i="17"/>
  <c r="BC34" i="17" s="1"/>
  <c r="BB33" i="16"/>
  <c r="BC33" i="16" s="1"/>
  <c r="H34" i="16"/>
  <c r="AZ34" i="16" s="1"/>
  <c r="BG4" i="16"/>
  <c r="BH34" i="16"/>
  <c r="BJ34" i="16" s="1"/>
  <c r="BC36" i="15"/>
  <c r="BB37" i="15"/>
  <c r="BC37" i="15" s="1"/>
  <c r="AT34" i="14"/>
  <c r="AU34" i="14" s="1"/>
  <c r="AV34" i="14" s="1"/>
  <c r="BA34" i="13"/>
  <c r="BB34" i="13" s="1"/>
  <c r="BC34" i="13" s="1"/>
  <c r="AU34" i="17" l="1"/>
  <c r="AV34" i="17" s="1"/>
  <c r="AX7" i="17" s="1"/>
  <c r="BB34" i="16"/>
  <c r="BC34" i="16" s="1"/>
  <c r="BE7" i="16" s="1"/>
  <c r="BE13" i="15"/>
  <c r="AX7" i="14"/>
  <c r="BE7" i="13"/>
  <c r="AX10" i="17" l="1"/>
  <c r="AY10" i="17" s="1"/>
  <c r="AX13" i="17"/>
  <c r="AY13" i="17" s="1"/>
  <c r="AY14" i="17" s="1"/>
  <c r="BE10" i="16"/>
  <c r="BF10" i="16" s="1"/>
  <c r="BE13" i="16"/>
  <c r="BF13" i="16" s="1"/>
  <c r="BF14" i="16" s="1"/>
  <c r="BF13" i="15"/>
  <c r="BF16" i="15"/>
  <c r="BF17" i="15" s="1"/>
  <c r="AX10" i="14"/>
  <c r="AY10" i="14" s="1"/>
  <c r="BE10" i="13"/>
  <c r="BF10" i="13" s="1"/>
  <c r="AD35" i="6"/>
  <c r="AD34" i="6"/>
  <c r="AD33" i="6"/>
  <c r="AD31" i="6"/>
  <c r="AD30" i="6"/>
  <c r="AD22" i="6"/>
  <c r="AD17" i="6"/>
  <c r="AD16" i="6"/>
  <c r="AD15" i="6"/>
  <c r="AD12" i="6"/>
  <c r="AD11" i="6"/>
  <c r="AD8" i="6"/>
  <c r="N37" i="6"/>
  <c r="N39" i="6" s="1"/>
  <c r="N32" i="6"/>
  <c r="N23" i="6"/>
  <c r="N22" i="6"/>
  <c r="N17" i="6"/>
  <c r="N14" i="6"/>
  <c r="N12" i="6"/>
  <c r="N10" i="6"/>
  <c r="N9" i="6"/>
  <c r="V37" i="6"/>
  <c r="V39" i="6" s="1"/>
  <c r="V36" i="6"/>
  <c r="N36" i="6"/>
  <c r="BI36" i="6"/>
  <c r="AL35" i="6"/>
  <c r="BI34" i="6"/>
  <c r="N31" i="6"/>
  <c r="AL30" i="6"/>
  <c r="AL29" i="6"/>
  <c r="AD29" i="6"/>
  <c r="N29" i="6"/>
  <c r="N28" i="6"/>
  <c r="V27" i="6"/>
  <c r="AL26" i="6"/>
  <c r="AL25" i="6"/>
  <c r="V23" i="6"/>
  <c r="AL22" i="6"/>
  <c r="AD20" i="6"/>
  <c r="BI20" i="6"/>
  <c r="AL19" i="6"/>
  <c r="V19" i="6"/>
  <c r="V14" i="6"/>
  <c r="N13" i="6"/>
  <c r="V12" i="6"/>
  <c r="AL11" i="6"/>
  <c r="AL10" i="6"/>
  <c r="V10" i="6"/>
  <c r="V9" i="6"/>
  <c r="AX8" i="6"/>
  <c r="AX9" i="6" s="1"/>
  <c r="AM8" i="6"/>
  <c r="AM9" i="6" s="1"/>
  <c r="AM10" i="6" s="1"/>
  <c r="AM11" i="6" s="1"/>
  <c r="AM12" i="6" s="1"/>
  <c r="AM13" i="6" s="1"/>
  <c r="AM14" i="6" s="1"/>
  <c r="AM15" i="6" s="1"/>
  <c r="AM16" i="6" s="1"/>
  <c r="AM17" i="6" s="1"/>
  <c r="AM18" i="6" s="1"/>
  <c r="AM19" i="6" s="1"/>
  <c r="AM20" i="6" s="1"/>
  <c r="AM21" i="6" s="1"/>
  <c r="AM22" i="6" s="1"/>
  <c r="AM23" i="6" s="1"/>
  <c r="AM24" i="6" s="1"/>
  <c r="AM25" i="6" s="1"/>
  <c r="AM26" i="6" s="1"/>
  <c r="AE8" i="6"/>
  <c r="AE9" i="6" s="1"/>
  <c r="AE10" i="6" s="1"/>
  <c r="AE11" i="6" s="1"/>
  <c r="AE12" i="6" s="1"/>
  <c r="AE13" i="6" s="1"/>
  <c r="AE14" i="6" s="1"/>
  <c r="AE15" i="6" s="1"/>
  <c r="AE16" i="6" s="1"/>
  <c r="AE17" i="6" s="1"/>
  <c r="AE18" i="6" s="1"/>
  <c r="AE19" i="6" s="1"/>
  <c r="AE20" i="6" s="1"/>
  <c r="AE21" i="6" s="1"/>
  <c r="AE22" i="6" s="1"/>
  <c r="AE23" i="6" s="1"/>
  <c r="AE24" i="6" s="1"/>
  <c r="AE25" i="6" s="1"/>
  <c r="W8" i="6"/>
  <c r="W9" i="6" s="1"/>
  <c r="W10" i="6" s="1"/>
  <c r="W11" i="6" s="1"/>
  <c r="W12" i="6" s="1"/>
  <c r="W13" i="6" s="1"/>
  <c r="W14" i="6" s="1"/>
  <c r="W15" i="6" s="1"/>
  <c r="W16" i="6" s="1"/>
  <c r="W17" i="6" s="1"/>
  <c r="W18" i="6" s="1"/>
  <c r="W19" i="6" s="1"/>
  <c r="W20" i="6" s="1"/>
  <c r="W21" i="6" s="1"/>
  <c r="W22" i="6" s="1"/>
  <c r="W23" i="6" s="1"/>
  <c r="W24" i="6" s="1"/>
  <c r="W25" i="6" s="1"/>
  <c r="W26" i="6" s="1"/>
  <c r="W27" i="6" s="1"/>
  <c r="W28" i="6" s="1"/>
  <c r="W29" i="6" s="1"/>
  <c r="W30" i="6" s="1"/>
  <c r="W31" i="6" s="1"/>
  <c r="W32" i="6" s="1"/>
  <c r="W33" i="6" s="1"/>
  <c r="W34" i="6" s="1"/>
  <c r="W35" i="6" s="1"/>
  <c r="O8" i="6"/>
  <c r="O9" i="6" s="1"/>
  <c r="O10" i="6" s="1"/>
  <c r="O11" i="6" s="1"/>
  <c r="O12" i="6" s="1"/>
  <c r="O13" i="6" s="1"/>
  <c r="O14" i="6" s="1"/>
  <c r="O15" i="6" s="1"/>
  <c r="O16" i="6" s="1"/>
  <c r="O17" i="6" s="1"/>
  <c r="O18" i="6" s="1"/>
  <c r="O19" i="6" s="1"/>
  <c r="O20" i="6" s="1"/>
  <c r="O21" i="6" s="1"/>
  <c r="O22" i="6" s="1"/>
  <c r="O23" i="6" s="1"/>
  <c r="O24" i="6" s="1"/>
  <c r="O25" i="6" s="1"/>
  <c r="O26" i="6" s="1"/>
  <c r="O27" i="6" s="1"/>
  <c r="O28" i="6" s="1"/>
  <c r="O29" i="6" s="1"/>
  <c r="O30" i="6" s="1"/>
  <c r="O31" i="6" s="1"/>
  <c r="G8" i="6"/>
  <c r="AY7" i="6"/>
  <c r="AK7" i="6"/>
  <c r="AL7" i="6" s="1"/>
  <c r="AN7" i="6" s="1"/>
  <c r="AX13" i="14" l="1"/>
  <c r="AY13" i="14" s="1"/>
  <c r="BE13" i="13"/>
  <c r="BF13" i="13" s="1"/>
  <c r="BI24" i="6"/>
  <c r="BI33" i="6"/>
  <c r="BI17" i="6"/>
  <c r="F26" i="6"/>
  <c r="BI26" i="6"/>
  <c r="F28" i="6"/>
  <c r="BI28" i="6"/>
  <c r="BI31" i="6"/>
  <c r="BI10" i="6"/>
  <c r="F15" i="6"/>
  <c r="BI15" i="6"/>
  <c r="F22" i="6"/>
  <c r="BI22" i="6"/>
  <c r="F7" i="6"/>
  <c r="H7" i="6" s="1"/>
  <c r="BI7" i="6"/>
  <c r="BJ7" i="6"/>
  <c r="F13" i="6"/>
  <c r="BI13" i="6"/>
  <c r="F18" i="6"/>
  <c r="BI18" i="6"/>
  <c r="F11" i="6"/>
  <c r="BI11" i="6"/>
  <c r="BI23" i="6"/>
  <c r="F25" i="6"/>
  <c r="BI25" i="6"/>
  <c r="BI27" i="6"/>
  <c r="F30" i="6"/>
  <c r="BI30" i="6"/>
  <c r="F32" i="6"/>
  <c r="BI32" i="6"/>
  <c r="F37" i="6"/>
  <c r="F39" i="6" s="1"/>
  <c r="BI37" i="6"/>
  <c r="BI16" i="6"/>
  <c r="BI35" i="6"/>
  <c r="BI8" i="6"/>
  <c r="BI9" i="6"/>
  <c r="F14" i="6"/>
  <c r="BI14" i="6"/>
  <c r="BI19" i="6"/>
  <c r="BI21" i="6"/>
  <c r="BI29" i="6"/>
  <c r="G9" i="6"/>
  <c r="BH8" i="6"/>
  <c r="BJ8" i="6" s="1"/>
  <c r="X14" i="6"/>
  <c r="X10" i="6"/>
  <c r="X9" i="6"/>
  <c r="X19" i="6"/>
  <c r="X23" i="6"/>
  <c r="AD25" i="6"/>
  <c r="AF25" i="6" s="1"/>
  <c r="X27" i="6"/>
  <c r="X12" i="6"/>
  <c r="V17" i="6"/>
  <c r="X17" i="6" s="1"/>
  <c r="F19" i="6"/>
  <c r="V34" i="6"/>
  <c r="X34" i="6" s="1"/>
  <c r="AF17" i="6"/>
  <c r="AF11" i="6"/>
  <c r="AL23" i="6"/>
  <c r="AN23" i="6" s="1"/>
  <c r="AL33" i="6"/>
  <c r="F35" i="6"/>
  <c r="AF12" i="6"/>
  <c r="AF20" i="6"/>
  <c r="V25" i="6"/>
  <c r="X25" i="6" s="1"/>
  <c r="F31" i="6"/>
  <c r="V35" i="6"/>
  <c r="X35" i="6" s="1"/>
  <c r="AF22" i="6"/>
  <c r="AN10" i="6"/>
  <c r="AN19" i="6"/>
  <c r="AN25" i="6"/>
  <c r="AN11" i="6"/>
  <c r="AM27" i="6"/>
  <c r="AM28" i="6" s="1"/>
  <c r="AM29" i="6" s="1"/>
  <c r="AM30" i="6" s="1"/>
  <c r="AM31" i="6" s="1"/>
  <c r="AM32" i="6" s="1"/>
  <c r="AM33" i="6" s="1"/>
  <c r="AM34" i="6" s="1"/>
  <c r="AM35" i="6" s="1"/>
  <c r="AM36" i="6" s="1"/>
  <c r="AM37" i="6" s="1"/>
  <c r="AN26" i="6"/>
  <c r="AN22" i="6"/>
  <c r="AF15" i="6"/>
  <c r="P31" i="6"/>
  <c r="P28" i="6"/>
  <c r="V31" i="6"/>
  <c r="X31" i="6" s="1"/>
  <c r="P10" i="6"/>
  <c r="P29" i="6"/>
  <c r="P12" i="6"/>
  <c r="P13" i="6"/>
  <c r="V28" i="6"/>
  <c r="X28" i="6" s="1"/>
  <c r="AL32" i="6"/>
  <c r="P9" i="6"/>
  <c r="P14" i="6"/>
  <c r="P22" i="6"/>
  <c r="AF16" i="6"/>
  <c r="AF8" i="6"/>
  <c r="V15" i="6"/>
  <c r="X15" i="6" s="1"/>
  <c r="P17" i="6"/>
  <c r="P23" i="6"/>
  <c r="N16" i="6"/>
  <c r="P16" i="6" s="1"/>
  <c r="N24" i="6"/>
  <c r="P24" i="6" s="1"/>
  <c r="N33" i="6"/>
  <c r="N34" i="6"/>
  <c r="AL8" i="6"/>
  <c r="AE26" i="6"/>
  <c r="AE27" i="6" s="1"/>
  <c r="AE28" i="6" s="1"/>
  <c r="AE29" i="6" s="1"/>
  <c r="AE30" i="6" s="1"/>
  <c r="AE31" i="6" s="1"/>
  <c r="AF31" i="6" s="1"/>
  <c r="W36" i="6"/>
  <c r="AX10" i="6"/>
  <c r="AY9" i="6"/>
  <c r="O32" i="6"/>
  <c r="O33" i="6" s="1"/>
  <c r="U7" i="6"/>
  <c r="V7" i="6" s="1"/>
  <c r="X7" i="6" s="1"/>
  <c r="N8" i="6"/>
  <c r="P8" i="6" s="1"/>
  <c r="AL9" i="6"/>
  <c r="AN9" i="6" s="1"/>
  <c r="V11" i="6"/>
  <c r="X11" i="6" s="1"/>
  <c r="AD13" i="6"/>
  <c r="AF13" i="6" s="1"/>
  <c r="AD14" i="6"/>
  <c r="AF14" i="6" s="1"/>
  <c r="AD18" i="6"/>
  <c r="AF18" i="6" s="1"/>
  <c r="N21" i="6"/>
  <c r="P21" i="6" s="1"/>
  <c r="AD23" i="6"/>
  <c r="AF23" i="6" s="1"/>
  <c r="V24" i="6"/>
  <c r="X24" i="6" s="1"/>
  <c r="N25" i="6"/>
  <c r="P25" i="6" s="1"/>
  <c r="AD26" i="6"/>
  <c r="F29" i="6"/>
  <c r="V30" i="6"/>
  <c r="X30" i="6" s="1"/>
  <c r="V32" i="6"/>
  <c r="X32" i="6" s="1"/>
  <c r="F16" i="6"/>
  <c r="N18" i="6"/>
  <c r="P18" i="6" s="1"/>
  <c r="N19" i="6"/>
  <c r="P19" i="6" s="1"/>
  <c r="AD19" i="6"/>
  <c r="AF19" i="6" s="1"/>
  <c r="AL21" i="6"/>
  <c r="AN21" i="6" s="1"/>
  <c r="F24" i="6"/>
  <c r="AL34" i="6"/>
  <c r="AD32" i="6"/>
  <c r="F8" i="6"/>
  <c r="H8" i="6" s="1"/>
  <c r="AD9" i="6"/>
  <c r="AF9" i="6" s="1"/>
  <c r="N15" i="6"/>
  <c r="P15" i="6" s="1"/>
  <c r="V16" i="6"/>
  <c r="X16" i="6" s="1"/>
  <c r="AL16" i="6"/>
  <c r="AN16" i="6" s="1"/>
  <c r="AL18" i="6"/>
  <c r="AN18" i="6" s="1"/>
  <c r="V21" i="6"/>
  <c r="X21" i="6" s="1"/>
  <c r="AD27" i="6"/>
  <c r="F33" i="6"/>
  <c r="N35" i="6"/>
  <c r="M7" i="6"/>
  <c r="N7" i="6" s="1"/>
  <c r="AC7" i="6"/>
  <c r="AD7" i="6" s="1"/>
  <c r="AF7" i="6" s="1"/>
  <c r="AY8" i="6"/>
  <c r="F9" i="6"/>
  <c r="AD10" i="6"/>
  <c r="AF10" i="6" s="1"/>
  <c r="N11" i="6"/>
  <c r="P11" i="6" s="1"/>
  <c r="V13" i="6"/>
  <c r="X13" i="6" s="1"/>
  <c r="AL14" i="6"/>
  <c r="AN14" i="6" s="1"/>
  <c r="V18" i="6"/>
  <c r="X18" i="6" s="1"/>
  <c r="AL20" i="6"/>
  <c r="AN20" i="6" s="1"/>
  <c r="F21" i="6"/>
  <c r="F23" i="6"/>
  <c r="N26" i="6"/>
  <c r="P26" i="6" s="1"/>
  <c r="AL31" i="6"/>
  <c r="AD36" i="6"/>
  <c r="AD37" i="6"/>
  <c r="AD39" i="6" s="1"/>
  <c r="V8" i="6"/>
  <c r="X8" i="6" s="1"/>
  <c r="F10" i="6"/>
  <c r="F12" i="6"/>
  <c r="AL13" i="6"/>
  <c r="AN13" i="6" s="1"/>
  <c r="F20" i="6"/>
  <c r="V20" i="6"/>
  <c r="X20" i="6" s="1"/>
  <c r="V26" i="6"/>
  <c r="X26" i="6" s="1"/>
  <c r="AL27" i="6"/>
  <c r="AD28" i="6"/>
  <c r="AL12" i="6"/>
  <c r="AN12" i="6" s="1"/>
  <c r="F17" i="6"/>
  <c r="AL17" i="6"/>
  <c r="AN17" i="6" s="1"/>
  <c r="AD21" i="6"/>
  <c r="AF21" i="6" s="1"/>
  <c r="AL24" i="6"/>
  <c r="AN24" i="6" s="1"/>
  <c r="N27" i="6"/>
  <c r="P27" i="6" s="1"/>
  <c r="N30" i="6"/>
  <c r="P30" i="6" s="1"/>
  <c r="F34" i="6"/>
  <c r="F36" i="6"/>
  <c r="AL15" i="6"/>
  <c r="AN15" i="6" s="1"/>
  <c r="N20" i="6"/>
  <c r="P20" i="6" s="1"/>
  <c r="V22" i="6"/>
  <c r="X22" i="6" s="1"/>
  <c r="V29" i="6"/>
  <c r="X29" i="6" s="1"/>
  <c r="V33" i="6"/>
  <c r="X33" i="6" s="1"/>
  <c r="AL36" i="6"/>
  <c r="AL37" i="6"/>
  <c r="AL39" i="6" s="1"/>
  <c r="AD24" i="6"/>
  <c r="AF24" i="6" s="1"/>
  <c r="F27" i="6"/>
  <c r="AL28" i="6"/>
  <c r="H9" i="6" l="1"/>
  <c r="AZ9" i="6" s="1"/>
  <c r="BA9" i="6" s="1"/>
  <c r="BB9" i="6" s="1"/>
  <c r="BC9" i="6" s="1"/>
  <c r="G10" i="6"/>
  <c r="BH9" i="6"/>
  <c r="BJ9" i="6" s="1"/>
  <c r="AN27" i="6"/>
  <c r="AF28" i="6"/>
  <c r="AF27" i="6"/>
  <c r="AN37" i="6"/>
  <c r="AN31" i="6"/>
  <c r="P32" i="6"/>
  <c r="AN30" i="6"/>
  <c r="AN36" i="6"/>
  <c r="AN32" i="6"/>
  <c r="AN33" i="6"/>
  <c r="AF29" i="6"/>
  <c r="AN28" i="6"/>
  <c r="AF26" i="6"/>
  <c r="P33" i="6"/>
  <c r="AN29" i="6"/>
  <c r="AN34" i="6"/>
  <c r="AN8" i="6"/>
  <c r="AN35" i="6"/>
  <c r="W37" i="6"/>
  <c r="X37" i="6" s="1"/>
  <c r="X36" i="6"/>
  <c r="AF30" i="6"/>
  <c r="P7" i="6"/>
  <c r="AZ7" i="6" s="1"/>
  <c r="O34" i="6"/>
  <c r="P34" i="6" s="1"/>
  <c r="AE32" i="6"/>
  <c r="AE33" i="6" s="1"/>
  <c r="AF33" i="6" s="1"/>
  <c r="AY10" i="6"/>
  <c r="AX11" i="6"/>
  <c r="G11" i="6" l="1"/>
  <c r="BH10" i="6"/>
  <c r="BJ10" i="6" s="1"/>
  <c r="H10" i="6"/>
  <c r="AZ10" i="6" s="1"/>
  <c r="AZ8" i="6"/>
  <c r="AF32" i="6"/>
  <c r="BA7" i="6"/>
  <c r="BB7" i="6" s="1"/>
  <c r="BC7" i="6" s="1"/>
  <c r="O35" i="6"/>
  <c r="P35" i="6" s="1"/>
  <c r="AE34" i="6"/>
  <c r="AF34" i="6" s="1"/>
  <c r="AY11" i="6"/>
  <c r="AX12" i="6"/>
  <c r="BA10" i="6" l="1"/>
  <c r="BB10" i="6" s="1"/>
  <c r="BC10" i="6" s="1"/>
  <c r="BA8" i="6"/>
  <c r="BB8" i="6" s="1"/>
  <c r="BC8" i="6" s="1"/>
  <c r="G12" i="6"/>
  <c r="BH11" i="6"/>
  <c r="BJ11" i="6" s="1"/>
  <c r="H11" i="6"/>
  <c r="AZ11" i="6" s="1"/>
  <c r="O36" i="6"/>
  <c r="P36" i="6" s="1"/>
  <c r="AY12" i="6"/>
  <c r="AX13" i="6"/>
  <c r="AE35" i="6"/>
  <c r="AF35" i="6" s="1"/>
  <c r="BA11" i="6" l="1"/>
  <c r="BB11" i="6" s="1"/>
  <c r="BC11" i="6" s="1"/>
  <c r="G13" i="6"/>
  <c r="BH12" i="6"/>
  <c r="BJ12" i="6" s="1"/>
  <c r="H12" i="6"/>
  <c r="AZ12" i="6" s="1"/>
  <c r="O37" i="6"/>
  <c r="P37" i="6" s="1"/>
  <c r="AE36" i="6"/>
  <c r="AF36" i="6" s="1"/>
  <c r="AY13" i="6"/>
  <c r="AX14" i="6"/>
  <c r="BA12" i="6" l="1"/>
  <c r="BB12" i="6" s="1"/>
  <c r="BC12" i="6" s="1"/>
  <c r="G14" i="6"/>
  <c r="BH13" i="6"/>
  <c r="BJ13" i="6" s="1"/>
  <c r="H13" i="6"/>
  <c r="AZ13" i="6" s="1"/>
  <c r="AY14" i="6"/>
  <c r="AX15" i="6"/>
  <c r="AE37" i="6"/>
  <c r="AF37" i="6" s="1"/>
  <c r="BA13" i="6" l="1"/>
  <c r="BB13" i="6" s="1"/>
  <c r="BC13" i="6" s="1"/>
  <c r="G15" i="6"/>
  <c r="BH14" i="6"/>
  <c r="BJ14" i="6" s="1"/>
  <c r="H14" i="6"/>
  <c r="AZ14" i="6" s="1"/>
  <c r="AX16" i="6"/>
  <c r="AY15" i="6"/>
  <c r="BA14" i="6" l="1"/>
  <c r="BB14" i="6" s="1"/>
  <c r="BC14" i="6" s="1"/>
  <c r="G16" i="6"/>
  <c r="BH15" i="6"/>
  <c r="BJ15" i="6" s="1"/>
  <c r="H15" i="6"/>
  <c r="AZ15" i="6" s="1"/>
  <c r="AY16" i="6"/>
  <c r="AX17" i="6"/>
  <c r="BA15" i="6" l="1"/>
  <c r="BB15" i="6" s="1"/>
  <c r="BC15" i="6" s="1"/>
  <c r="G17" i="6"/>
  <c r="BH16" i="6"/>
  <c r="BJ16" i="6" s="1"/>
  <c r="H16" i="6"/>
  <c r="AZ16" i="6" s="1"/>
  <c r="AX18" i="6"/>
  <c r="AY17" i="6"/>
  <c r="BA16" i="6" l="1"/>
  <c r="BB16" i="6" s="1"/>
  <c r="BC16" i="6" s="1"/>
  <c r="G18" i="6"/>
  <c r="BH17" i="6"/>
  <c r="BJ17" i="6" s="1"/>
  <c r="H17" i="6"/>
  <c r="AZ17" i="6" s="1"/>
  <c r="AY18" i="6"/>
  <c r="AX19" i="6"/>
  <c r="BA17" i="6" l="1"/>
  <c r="BB17" i="6" s="1"/>
  <c r="BC17" i="6" s="1"/>
  <c r="G19" i="6"/>
  <c r="BH18" i="6"/>
  <c r="BJ18" i="6" s="1"/>
  <c r="H18" i="6"/>
  <c r="AZ18" i="6" s="1"/>
  <c r="AX20" i="6"/>
  <c r="AY19" i="6"/>
  <c r="BA18" i="6" l="1"/>
  <c r="BB18" i="6" s="1"/>
  <c r="BC18" i="6" s="1"/>
  <c r="BH19" i="6"/>
  <c r="BJ19" i="6" s="1"/>
  <c r="G20" i="6"/>
  <c r="H19" i="6"/>
  <c r="AZ19" i="6" s="1"/>
  <c r="AX21" i="6"/>
  <c r="AY20" i="6"/>
  <c r="BA19" i="6" l="1"/>
  <c r="BB19" i="6" s="1"/>
  <c r="BC19" i="6" s="1"/>
  <c r="G21" i="6"/>
  <c r="BH20" i="6"/>
  <c r="BJ20" i="6"/>
  <c r="H20" i="6"/>
  <c r="AZ20" i="6" s="1"/>
  <c r="AY21" i="6"/>
  <c r="AX22" i="6"/>
  <c r="BA20" i="6" l="1"/>
  <c r="BB20" i="6" s="1"/>
  <c r="BC20" i="6" s="1"/>
  <c r="G22" i="6"/>
  <c r="BH21" i="6"/>
  <c r="BJ21" i="6" s="1"/>
  <c r="H21" i="6"/>
  <c r="AZ21" i="6" s="1"/>
  <c r="BA21" i="6" s="1"/>
  <c r="BB21" i="6" s="1"/>
  <c r="BC21" i="6" s="1"/>
  <c r="AY22" i="6"/>
  <c r="AX23" i="6"/>
  <c r="G23" i="6" l="1"/>
  <c r="BH22" i="6"/>
  <c r="BJ22" i="6" s="1"/>
  <c r="H22" i="6"/>
  <c r="AZ22" i="6" s="1"/>
  <c r="AX24" i="6"/>
  <c r="AY23" i="6"/>
  <c r="BA22" i="6" l="1"/>
  <c r="BB22" i="6" s="1"/>
  <c r="BC22" i="6" s="1"/>
  <c r="G24" i="6"/>
  <c r="BH23" i="6"/>
  <c r="BJ23" i="6" s="1"/>
  <c r="H23" i="6"/>
  <c r="AZ23" i="6" s="1"/>
  <c r="AX25" i="6"/>
  <c r="AY24" i="6"/>
  <c r="BA23" i="6" l="1"/>
  <c r="BB23" i="6" s="1"/>
  <c r="BC23" i="6" s="1"/>
  <c r="G25" i="6"/>
  <c r="BH24" i="6"/>
  <c r="BJ24" i="6" s="1"/>
  <c r="H24" i="6"/>
  <c r="AZ24" i="6" s="1"/>
  <c r="BA24" i="6" s="1"/>
  <c r="BB24" i="6" s="1"/>
  <c r="BC24" i="6" s="1"/>
  <c r="AY25" i="6"/>
  <c r="AX26" i="6"/>
  <c r="H25" i="6" l="1"/>
  <c r="AZ25" i="6" s="1"/>
  <c r="BH25" i="6"/>
  <c r="BJ25" i="6"/>
  <c r="G26" i="6"/>
  <c r="AX27" i="6"/>
  <c r="AY26" i="6"/>
  <c r="H26" i="6" l="1"/>
  <c r="AZ26" i="6" s="1"/>
  <c r="BH26" i="6"/>
  <c r="BJ26" i="6" s="1"/>
  <c r="G27" i="6"/>
  <c r="BA25" i="6"/>
  <c r="BB25" i="6" s="1"/>
  <c r="BC25" i="6" s="1"/>
  <c r="AY27" i="6"/>
  <c r="AX28" i="6"/>
  <c r="H27" i="6" l="1"/>
  <c r="AZ27" i="6" s="1"/>
  <c r="BH27" i="6"/>
  <c r="BJ27" i="6"/>
  <c r="G28" i="6"/>
  <c r="BA26" i="6"/>
  <c r="BB26" i="6" s="1"/>
  <c r="BC26" i="6" s="1"/>
  <c r="AX29" i="6"/>
  <c r="AY28" i="6"/>
  <c r="H28" i="6" l="1"/>
  <c r="AZ28" i="6" s="1"/>
  <c r="BH28" i="6"/>
  <c r="BJ28" i="6" s="1"/>
  <c r="G29" i="6"/>
  <c r="BA27" i="6"/>
  <c r="BB27" i="6" s="1"/>
  <c r="BC27" i="6" s="1"/>
  <c r="AX30" i="6"/>
  <c r="AY29" i="6"/>
  <c r="H29" i="6" l="1"/>
  <c r="AZ29" i="6" s="1"/>
  <c r="BH29" i="6"/>
  <c r="BJ29" i="6" s="1"/>
  <c r="G30" i="6"/>
  <c r="BA28" i="6"/>
  <c r="BB28" i="6" s="1"/>
  <c r="BC28" i="6" s="1"/>
  <c r="AX31" i="6"/>
  <c r="AY30" i="6"/>
  <c r="BA29" i="6" l="1"/>
  <c r="BB29" i="6" s="1"/>
  <c r="BC29" i="6" s="1"/>
  <c r="H30" i="6"/>
  <c r="AZ30" i="6" s="1"/>
  <c r="BH30" i="6"/>
  <c r="BJ30" i="6" s="1"/>
  <c r="G31" i="6"/>
  <c r="AX32" i="6"/>
  <c r="AY31" i="6"/>
  <c r="H31" i="6" l="1"/>
  <c r="AZ31" i="6" s="1"/>
  <c r="BH31" i="6"/>
  <c r="BJ31" i="6" s="1"/>
  <c r="G32" i="6"/>
  <c r="BA30" i="6"/>
  <c r="BB30" i="6" s="1"/>
  <c r="BC30" i="6" s="1"/>
  <c r="AY32" i="6"/>
  <c r="AX33" i="6"/>
  <c r="H32" i="6" l="1"/>
  <c r="AZ32" i="6" s="1"/>
  <c r="BH32" i="6"/>
  <c r="BJ32" i="6" s="1"/>
  <c r="G33" i="6"/>
  <c r="BA31" i="6"/>
  <c r="BB31" i="6" s="1"/>
  <c r="BC31" i="6" s="1"/>
  <c r="AX34" i="6"/>
  <c r="AY33" i="6"/>
  <c r="H33" i="6" l="1"/>
  <c r="AZ33" i="6" s="1"/>
  <c r="BH33" i="6"/>
  <c r="BJ33" i="6" s="1"/>
  <c r="G34" i="6"/>
  <c r="BA32" i="6"/>
  <c r="BB32" i="6" s="1"/>
  <c r="BC32" i="6" s="1"/>
  <c r="AX35" i="6"/>
  <c r="AY34" i="6"/>
  <c r="H34" i="6" l="1"/>
  <c r="AZ34" i="6" s="1"/>
  <c r="BH34" i="6"/>
  <c r="BJ34" i="6" s="1"/>
  <c r="G35" i="6"/>
  <c r="BA33" i="6"/>
  <c r="BB33" i="6" s="1"/>
  <c r="BC33" i="6" s="1"/>
  <c r="AX36" i="6"/>
  <c r="AY35" i="6"/>
  <c r="BA34" i="6" l="1"/>
  <c r="BB34" i="6" s="1"/>
  <c r="BC34" i="6" s="1"/>
  <c r="H35" i="6"/>
  <c r="AZ35" i="6" s="1"/>
  <c r="BH35" i="6"/>
  <c r="BJ35" i="6" s="1"/>
  <c r="G36" i="6"/>
  <c r="AX37" i="6"/>
  <c r="AY37" i="6" s="1"/>
  <c r="AY36" i="6"/>
  <c r="H36" i="6" l="1"/>
  <c r="AZ36" i="6" s="1"/>
  <c r="BH36" i="6"/>
  <c r="BJ36" i="6" s="1"/>
  <c r="G37" i="6"/>
  <c r="BA35" i="6"/>
  <c r="BB35" i="6" s="1"/>
  <c r="BC35" i="6" s="1"/>
  <c r="BH37" i="6" l="1"/>
  <c r="BJ37" i="6" s="1"/>
  <c r="H37" i="6"/>
  <c r="AZ37" i="6" s="1"/>
  <c r="BG7" i="6"/>
  <c r="BA36" i="6"/>
  <c r="BB36" i="6" s="1"/>
  <c r="BC36" i="6" s="1"/>
  <c r="BA37" i="6" l="1"/>
  <c r="BB37" i="6" s="1"/>
  <c r="BC37" i="6" s="1"/>
  <c r="BE10" i="6" l="1"/>
  <c r="BE13" i="6" l="1"/>
  <c r="BF13" i="6" s="1"/>
  <c r="BE16" i="6" l="1"/>
</calcChain>
</file>

<file path=xl/sharedStrings.xml><?xml version="1.0" encoding="utf-8"?>
<sst xmlns="http://schemas.openxmlformats.org/spreadsheetml/2006/main" count="1595" uniqueCount="145">
  <si>
    <t>average DBH (cm/yr)</t>
  </si>
  <si>
    <t xml:space="preserve">year </t>
  </si>
  <si>
    <t>tree species</t>
  </si>
  <si>
    <t>AGB</t>
  </si>
  <si>
    <t>DBH (cm)</t>
  </si>
  <si>
    <t>Height (m)</t>
  </si>
  <si>
    <t>Density (g/cm3)</t>
  </si>
  <si>
    <t>Density (#/ha)</t>
  </si>
  <si>
    <t>AGB (kgC/ha)</t>
  </si>
  <si>
    <t>Neem tree</t>
  </si>
  <si>
    <t>TOTAL AGB (tCO2/ha)</t>
  </si>
  <si>
    <t>TOTAL BGB (tCO2/ha)</t>
  </si>
  <si>
    <t>TOTAL woody biomass (tCO2/ha)</t>
  </si>
  <si>
    <t>SOC (tC/ha)</t>
  </si>
  <si>
    <t>SOC (tCO2/ha)</t>
  </si>
  <si>
    <t>Total Stock (tCO2/ha)</t>
  </si>
  <si>
    <t>Total trees/ha</t>
  </si>
  <si>
    <t>total C benefit (t CO2)</t>
  </si>
  <si>
    <t>Potential PVC</t>
  </si>
  <si>
    <t>Avocado</t>
  </si>
  <si>
    <t>Orange</t>
  </si>
  <si>
    <t xml:space="preserve">Mandarin </t>
  </si>
  <si>
    <t xml:space="preserve">Lemon </t>
  </si>
  <si>
    <t>Safoutier</t>
  </si>
  <si>
    <t>AGB (kg)</t>
  </si>
  <si>
    <t>avocado</t>
  </si>
  <si>
    <t>orange</t>
  </si>
  <si>
    <t xml:space="preserve">lemon </t>
  </si>
  <si>
    <t>mandarine</t>
  </si>
  <si>
    <t>mango</t>
  </si>
  <si>
    <t>risk buffer (t CO2)</t>
  </si>
  <si>
    <t>Mango</t>
  </si>
  <si>
    <t>risk buffer (t CO2/ha)</t>
  </si>
  <si>
    <t>Tree species (common)</t>
  </si>
  <si>
    <t>source</t>
  </si>
  <si>
    <t>tree height (m)</t>
  </si>
  <si>
    <t>wood density (g/cm3)</t>
  </si>
  <si>
    <t>Home orchard</t>
  </si>
  <si>
    <t>Magnifera indica</t>
  </si>
  <si>
    <t xml:space="preserve">Citrus limon </t>
  </si>
  <si>
    <t>Citrus reticulata</t>
  </si>
  <si>
    <t>Citrus sinensis</t>
  </si>
  <si>
    <t>Persea Americana</t>
  </si>
  <si>
    <t>Azadirachta indica</t>
  </si>
  <si>
    <t>Dacryodes edulis</t>
  </si>
  <si>
    <t>DBH = 11,291ln(yr) - 8,2599</t>
  </si>
  <si>
    <t>Dataset Ethiotrees</t>
  </si>
  <si>
    <r>
      <t>Fuentes-Talavera, F. J., Silva-Guzmán, J. A., Rodríguez-Anda, R., Lomelí-Ramírez, M. G., Sanjuán-Dueñas, R., &amp; Richter, H. G. (2011). Strength properties and natural durability of Avocado (Persea americana Mill.) branch wood. </t>
    </r>
    <r>
      <rPr>
        <i/>
        <sz val="13"/>
        <color rgb="FF222222"/>
        <rFont val="Arial"/>
        <family val="2"/>
      </rPr>
      <t>Madera y bosques</t>
    </r>
    <r>
      <rPr>
        <sz val="13"/>
        <color rgb="FF222222"/>
        <rFont val="Arial"/>
        <family val="2"/>
      </rPr>
      <t>, </t>
    </r>
    <r>
      <rPr>
        <i/>
        <sz val="13"/>
        <color rgb="FF222222"/>
        <rFont val="Arial"/>
        <family val="2"/>
      </rPr>
      <t>17</t>
    </r>
    <r>
      <rPr>
        <sz val="13"/>
        <color rgb="FF222222"/>
        <rFont val="Arial"/>
        <family val="2"/>
      </rPr>
      <t>(1), 37-47.</t>
    </r>
  </si>
  <si>
    <t>Dataset Ethiotrees: average height of trees older than 10y</t>
  </si>
  <si>
    <t>Ortiz, C., Torregrosa, A., Ortí, E., &amp; Balasch, S. (2020). Mechanical Thinning of Mandarins with a Branch Shaker. HortTechnology, 30(6), 745-750.</t>
  </si>
  <si>
    <r>
      <t>Berti, S., Burato, P., Dionisi-Vici, P., and Allegretti, O. (2018). </t>
    </r>
    <r>
      <rPr>
        <b/>
        <sz val="16"/>
        <color rgb="FF333333"/>
        <rFont val="Arial"/>
        <family val="2"/>
      </rPr>
      <t>"Orange wood for parquet and engineered flooring use,"</t>
    </r>
    <r>
      <rPr>
        <sz val="16"/>
        <color rgb="FF333333"/>
        <rFont val="Arial"/>
        <family val="2"/>
      </rPr>
      <t> </t>
    </r>
    <r>
      <rPr>
        <i/>
        <sz val="16"/>
        <color rgb="FF333333"/>
        <rFont val="Arial"/>
        <family val="2"/>
      </rPr>
      <t>BioRes. </t>
    </r>
    <r>
      <rPr>
        <sz val="16"/>
        <color rgb="FF333333"/>
        <rFont val="Arial"/>
        <family val="2"/>
      </rPr>
      <t>13(1), 586-596.</t>
    </r>
  </si>
  <si>
    <t>retrieved from: https://prota.prota4u.org/protav8.asp?h=M1,M11,M12,M15,M16,M25,M26,M27,M34,M36,M4,M6,M7&amp;t=Citrus,sinensis,citrus&amp;p=Citrus+sinensis#Protologue</t>
  </si>
  <si>
    <t xml:space="preserve">average orange and lemon </t>
  </si>
  <si>
    <t>Based on Orange</t>
  </si>
  <si>
    <r>
      <t>Wambede, M. N., Akello, G., Lugumira, J. S., Barasa, B., Amwonya, D., &amp; Mulabbi, A. (2022). Carbon Sequestration of Fruit Trees under Contrasting Management Regimes. </t>
    </r>
    <r>
      <rPr>
        <i/>
        <sz val="13"/>
        <color rgb="FF222222"/>
        <rFont val="Arial"/>
        <family val="2"/>
      </rPr>
      <t>Indonesian Journal of Geography</t>
    </r>
    <r>
      <rPr>
        <sz val="13"/>
        <color rgb="FF222222"/>
        <rFont val="Arial"/>
        <family val="2"/>
      </rPr>
      <t>, </t>
    </r>
    <r>
      <rPr>
        <i/>
        <sz val="13"/>
        <color rgb="FF222222"/>
        <rFont val="Arial"/>
        <family val="2"/>
      </rPr>
      <t>54</t>
    </r>
    <r>
      <rPr>
        <sz val="13"/>
        <color rgb="FF222222"/>
        <rFont val="Arial"/>
        <family val="2"/>
      </rPr>
      <t>(3).</t>
    </r>
  </si>
  <si>
    <t>Sahin, S., Ayata, U., Bal, B. C., Esteves, B., Can, A., &amp; Sivrikaya, H. (2020). Determination of some wood properties and response to weathering of Citrus limon (L.) Burm wood.</t>
  </si>
  <si>
    <t>retreived from: https://prota.prota4u.org/protav8.asp?h=M36&amp;t=Persea&amp;p=Citrus+limon#</t>
  </si>
  <si>
    <t>DBH = 10,348ln(yr) - 6,693</t>
  </si>
  <si>
    <r>
      <t>Eric. (2023). Mango. </t>
    </r>
    <r>
      <rPr>
        <i/>
        <sz val="12"/>
        <color rgb="FF05103E"/>
        <rFont val="Times New Roman"/>
        <family val="1"/>
      </rPr>
      <t>The Wood Database</t>
    </r>
    <r>
      <rPr>
        <sz val="14"/>
        <color rgb="FF05103E"/>
        <rFont val="Times New Roman"/>
        <family val="1"/>
      </rPr>
      <t>. </t>
    </r>
    <r>
      <rPr>
        <sz val="12"/>
        <color rgb="FF05103E"/>
        <rFont val="Times New Roman"/>
        <family val="1"/>
      </rPr>
      <t>https://www.wood-database.com/mango/</t>
    </r>
  </si>
  <si>
    <t>revtrieved from https://prota.prota4u.org/protav8.asp?h=M1,M11,M12,M25,M26,M27,M34,M36,M4,M7&amp;t=Azadirachta,indica,azadirachta&amp;p=Azadirachta+indica#Protologue</t>
  </si>
  <si>
    <t>retrieved from: https://prota.prota4u.org/protav8.asp?h=M1,M11,M12,M25,M26,M27,M34,M36,M4,M7&amp;t=Azadirachta,indica,azadirachta&amp;p=Azadirachta+indica#Protologue</t>
  </si>
  <si>
    <t>15(-30)</t>
  </si>
  <si>
    <t>retrieved from: https://prota.prota4u.org/protav8.asp?h=M18,M19,M21,M25,M26,M27,M36,M5,M6,M7,M8,M9&amp;t=shea,butter,Shea&amp;p=Vitellaria+paradoxa#Management</t>
  </si>
  <si>
    <r>
      <t xml:space="preserve">Manner, H.I., R.S. Buker, V. Easton Smith, and C.R. Elevitch. 2006. </t>
    </r>
    <r>
      <rPr>
        <i/>
        <sz val="11"/>
        <color theme="1"/>
        <rFont val="Calibri"/>
        <family val="2"/>
        <scheme val="minor"/>
      </rPr>
      <t xml:space="preserve">Citrus </t>
    </r>
    <r>
      <rPr>
        <sz val="11"/>
        <color theme="1"/>
        <rFont val="Calibri"/>
        <family val="2"/>
        <scheme val="minor"/>
      </rPr>
      <t xml:space="preserve">species (citrus), ver. 2.1. In: Elevitch, C.R. (ed.). Species Profiles for Pacific Island Agroforestry. Permanent Agriculture Resources (PAR), Hōlualoa, Hawai‘i. &lt;http://www.traditionaltree.org&gt;. </t>
    </r>
  </si>
  <si>
    <t>20(-25)</t>
  </si>
  <si>
    <t>retrieved from: https://prota.prota4u.org/protav8.asp?h=M11,M12,M14,M25,M26,M27,M28,M34,M36,M4,M6,M7&amp;t=Dacryodes,edulis&amp;p=Dacryodes+edulis#Description</t>
  </si>
  <si>
    <t>Njansang</t>
  </si>
  <si>
    <t>Ricinodendron heudelotii</t>
  </si>
  <si>
    <t>retrieved from: https://prota.prota4u.org/protav8.asp?h=M26,M27,M36,M5&amp;t=djansang,Djansang&amp;p=Ricinodendron+heudelotii#MajorReferences</t>
  </si>
  <si>
    <t>30(-45)</t>
  </si>
  <si>
    <t>average diameter</t>
  </si>
  <si>
    <t xml:space="preserve"># ha in Bankim </t>
  </si>
  <si>
    <t xml:space="preserve">retrieved from: https://prota.prota4u.org/protav8.asp?h=M15,M16,M19,M27,M36,M5,M7&amp;t=butter,fruit,tree&amp;p=Dacryodes+edulis#Ecology
and divided by 100y
assuming 35 years </t>
  </si>
  <si>
    <t>retrieved from: https://prota.prota4u.org/protav8.asp?h=M11,M12,M14,M15,M18,M19,M23,M24,M25,M26,M27,M34,M36,M4,M6,M7,M8,M9&amp;t=Ricinodendron,heudelotii&amp;p=Ricinodendron+heudelotii#Description
retrieved from: https://africanorphancrops.org/ricinodendron-heudelotii/ 
averages  divided by 100y*</t>
  </si>
  <si>
    <t>Tree species scientifique</t>
  </si>
  <si>
    <t>Formula/Reference</t>
  </si>
  <si>
    <t xml:space="preserve">literature </t>
  </si>
  <si>
    <t>AGB=0.0673∙〖(ρ∙D^2∙H)〗^0.976</t>
  </si>
  <si>
    <t>judgement local team</t>
  </si>
  <si>
    <t>assumption</t>
  </si>
  <si>
    <t>AGB + BGB</t>
  </si>
  <si>
    <t>SOC + TOTAL woody biomass</t>
  </si>
  <si>
    <t>(sum of AGB's)*3.67</t>
  </si>
  <si>
    <t>BGB=0.235∙Total AGB</t>
  </si>
  <si>
    <t>E</t>
  </si>
  <si>
    <t>avg measured DBH</t>
  </si>
  <si>
    <t>Moringa</t>
  </si>
  <si>
    <t>8m</t>
  </si>
  <si>
    <t>retrieved from: https://apps.worldagroforestry.org/treedb2/speciesprofile.php?Spid=1169#:~:text=The%20soft%20and%20light%20wood,make%20small%20ropes%20and%20mats.</t>
  </si>
  <si>
    <t>retrieved from: https://winrock.org/moringa-oleifera-a-perfect-tree-for-home-gardens-2/</t>
  </si>
  <si>
    <t>Moringa oleifera</t>
  </si>
  <si>
    <t>t CO2</t>
  </si>
  <si>
    <t>av diam weighed for trees</t>
  </si>
  <si>
    <t>total trees/ha over the years</t>
  </si>
  <si>
    <t>Total trees/ ha over years</t>
  </si>
  <si>
    <t>weighed av diam</t>
  </si>
  <si>
    <t>ln(H) =0.893-E+0.760 ln(D)-0.034(ln(D))^2</t>
  </si>
  <si>
    <t>AGB*tree density * 0.475</t>
  </si>
  <si>
    <t>retrieved from: https://www.daf.qld.gov.au/__data/assets/pdf_file/0007/69262/IPA-Horseradish-Tree-Risk-Assessment.pdf</t>
  </si>
  <si>
    <t>measured/literature corrected with 7% on expert judgement</t>
  </si>
  <si>
    <t>retrieved from the dataset of Chave et al (2014)
coordinates: lon=11.489639; lat=6.087984</t>
  </si>
  <si>
    <t>conversion factor</t>
  </si>
  <si>
    <t>literature data</t>
  </si>
  <si>
    <t>PVC/ha</t>
  </si>
  <si>
    <t>PV/ha</t>
  </si>
  <si>
    <t>Small communal garden</t>
  </si>
  <si>
    <t>Tali</t>
  </si>
  <si>
    <t>Erythrophleum suaveolens</t>
  </si>
  <si>
    <t>retrieved from: https://orbi.uliege.be/bitstream/2268/262899/1/TreeGrowth_paper_preprint.pdf</t>
  </si>
  <si>
    <t>retrieved from: https://thewoodexplorer.net/species/item/erythrophleum-suaveolens-tali/</t>
  </si>
  <si>
    <t>retrieved from: https://prota.prota4u.org/protav8.asp?h=M27,M5&amp;t=Tali,tali&amp;p=Erythrophleum+suaveolens#OtherReferences</t>
  </si>
  <si>
    <t>Gmelina</t>
  </si>
  <si>
    <t>Gmelina arborea</t>
  </si>
  <si>
    <t>retrieved from: https://www.ajol.info/index.php/jrfwe/article/view/252286</t>
  </si>
  <si>
    <t>retrieved from: https://www.fs.usda.gov/nrs/pubs/gtr/gtr-nrs200-2021_appendixes/gtr_nrs200-2021_appendix11.pdf</t>
  </si>
  <si>
    <t>30(-40)</t>
  </si>
  <si>
    <t>retrieved from: https://prota.prota4u.org/protav8.asp?h=M1,M11,M12,M14,M15,M16,M18,M19,M21,M23,M24,M25,M26,M27,M28,M34,M36,M4,M5,M6,M7,M8,M9&amp;t=Gmelina,gmelina&amp;p=Gmelina+arborea#Protologue</t>
  </si>
  <si>
    <t>Corrosolier</t>
  </si>
  <si>
    <t>Annona muricata</t>
  </si>
  <si>
    <t>retrieved from: https://pfaf.org/user/Plant.aspx?LatinName=Annona+muricata#:~:text=Summary,rheumatism%2C%20and%20coughs%20and%20colds.</t>
  </si>
  <si>
    <t>Large communal garden</t>
  </si>
  <si>
    <t xml:space="preserve">Tali </t>
  </si>
  <si>
    <t>Badamier</t>
  </si>
  <si>
    <t>Terminalia catappa</t>
  </si>
  <si>
    <t>retrieved from: https://rcpol.mn.ufrj.br/wp-content/uploads/2018/02/129.pdf</t>
  </si>
  <si>
    <t>Njangssang</t>
  </si>
  <si>
    <t># ha in Mayo-Banyo</t>
  </si>
  <si>
    <t>SOC_ref</t>
  </si>
  <si>
    <t>f_LU_i</t>
  </si>
  <si>
    <t>f_MG_i</t>
  </si>
  <si>
    <t>f_IN_i</t>
  </si>
  <si>
    <t>SOC_loss</t>
  </si>
  <si>
    <t>year</t>
  </si>
  <si>
    <t>SOC_initial (tC) = SOC_ref*f_LU_i*f_MG_i*f_IN_i</t>
  </si>
  <si>
    <t>dSOC (tC/ha) =((SOC_ref - (SOC_initial - SOC_loss))/year</t>
  </si>
  <si>
    <t>No losses appear</t>
  </si>
  <si>
    <t>BGBG = 0.33*Total AGB</t>
  </si>
  <si>
    <t>t C/ha/year</t>
  </si>
  <si>
    <t>*(Awé, D. V., Noiha, N. V., &amp; Zapfack, L. (2021). Carbon management for savannah ecosystems in Central Africa: a case study from Cameroon. International Journal of Low-Carbon Technologies, 16(4), 1290–1298. https://doi.org/10.1093/ijlct/ctab050)</t>
  </si>
  <si>
    <t>Recalculated via the AR methodological tool: Tool for estimation of change in soil organic carbon stocks due to the
implementation of A/R CDM project activities**</t>
  </si>
  <si>
    <t>**</t>
  </si>
  <si>
    <t>The Adamawa region is a tropical moist region with soils with low activity clay (LAC)</t>
  </si>
  <si>
    <t>The Adamawa region is a tropical moist region</t>
  </si>
  <si>
    <t xml:space="preserve">Reduced tillage in tropical moist region </t>
  </si>
  <si>
    <t xml:space="preserve">Input level is low, in tropical region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</si>
</sst>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Calibri"/>
      <family val="2"/>
      <scheme val="minor"/>
    </font>
    <font>
      <sz val="13"/>
      <color rgb="FF2F5496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rgb="FF808080"/>
      <name val="Calibri"/>
      <family val="2"/>
    </font>
    <font>
      <b/>
      <sz val="16"/>
      <color theme="1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sz val="13"/>
      <color rgb="FF222222"/>
      <name val="Arial"/>
      <family val="2"/>
    </font>
    <font>
      <i/>
      <sz val="13"/>
      <color rgb="FF222222"/>
      <name val="Arial"/>
      <family val="2"/>
    </font>
    <font>
      <sz val="16"/>
      <color rgb="FF333333"/>
      <name val="Arial"/>
      <family val="2"/>
    </font>
    <font>
      <b/>
      <sz val="16"/>
      <color rgb="FF333333"/>
      <name val="Arial"/>
      <family val="2"/>
    </font>
    <font>
      <i/>
      <sz val="16"/>
      <color rgb="FF333333"/>
      <name val="Arial"/>
      <family val="2"/>
    </font>
    <font>
      <sz val="10"/>
      <color theme="1"/>
      <name val="ACaslonPro"/>
    </font>
    <font>
      <sz val="11"/>
      <color theme="1"/>
      <name val="Calibri"/>
      <family val="2"/>
      <scheme val="minor"/>
    </font>
    <font>
      <sz val="14"/>
      <color rgb="FF05103E"/>
      <name val="Times New Roman"/>
      <family val="1"/>
    </font>
    <font>
      <i/>
      <sz val="12"/>
      <color rgb="FF05103E"/>
      <name val="Times New Roman"/>
      <family val="1"/>
    </font>
    <font>
      <sz val="12"/>
      <color rgb="FF05103E"/>
      <name val="Times New Roman"/>
      <family val="1"/>
    </font>
    <font>
      <sz val="12"/>
      <name val="Calibri"/>
      <family val="2"/>
    </font>
    <font>
      <i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12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2" fillId="0" borderId="0" xfId="1"/>
    <xf numFmtId="0" fontId="3" fillId="0" borderId="0" xfId="0" applyFont="1" applyAlignment="1">
      <alignment horizontal="justify" vertical="center" wrapText="1"/>
    </xf>
    <xf numFmtId="0" fontId="5" fillId="0" borderId="0" xfId="0" applyFont="1"/>
    <xf numFmtId="0" fontId="11" fillId="0" borderId="0" xfId="0" applyFont="1"/>
    <xf numFmtId="0" fontId="0" fillId="0" borderId="2" xfId="0" applyBorder="1"/>
    <xf numFmtId="0" fontId="12" fillId="0" borderId="3" xfId="0" applyFont="1" applyBorder="1"/>
    <xf numFmtId="0" fontId="12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3" xfId="0" applyBorder="1"/>
    <xf numFmtId="0" fontId="0" fillId="0" borderId="4" xfId="0" applyBorder="1"/>
    <xf numFmtId="0" fontId="0" fillId="0" borderId="10" xfId="0" applyBorder="1"/>
    <xf numFmtId="0" fontId="12" fillId="0" borderId="11" xfId="0" applyFont="1" applyBorder="1"/>
    <xf numFmtId="0" fontId="0" fillId="0" borderId="12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12" fillId="0" borderId="13" xfId="0" applyFont="1" applyBorder="1"/>
    <xf numFmtId="0" fontId="16" fillId="0" borderId="8" xfId="0" applyFont="1" applyBorder="1" applyAlignment="1">
      <alignment horizontal="justify" vertical="center" wrapText="1"/>
    </xf>
    <xf numFmtId="0" fontId="16" fillId="2" borderId="7" xfId="0" applyFont="1" applyFill="1" applyBorder="1" applyAlignment="1">
      <alignment horizontal="justify" vertical="center" wrapText="1"/>
    </xf>
    <xf numFmtId="0" fontId="0" fillId="0" borderId="15" xfId="0" applyBorder="1"/>
    <xf numFmtId="0" fontId="0" fillId="0" borderId="18" xfId="0" applyBorder="1"/>
    <xf numFmtId="0" fontId="0" fillId="0" borderId="21" xfId="0" applyBorder="1"/>
    <xf numFmtId="0" fontId="16" fillId="0" borderId="1" xfId="0" applyFont="1" applyBorder="1" applyAlignment="1">
      <alignment horizontal="justify" vertical="center" wrapText="1"/>
    </xf>
    <xf numFmtId="0" fontId="0" fillId="0" borderId="22" xfId="0" applyBorder="1"/>
    <xf numFmtId="0" fontId="5" fillId="3" borderId="16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5" fillId="3" borderId="20" xfId="0" applyFont="1" applyFill="1" applyBorder="1" applyAlignment="1">
      <alignment horizontal="center"/>
    </xf>
    <xf numFmtId="0" fontId="0" fillId="5" borderId="0" xfId="0" applyFill="1"/>
    <xf numFmtId="0" fontId="5" fillId="3" borderId="23" xfId="0" applyFont="1" applyFill="1" applyBorder="1" applyAlignment="1">
      <alignment horizontal="center"/>
    </xf>
    <xf numFmtId="0" fontId="5" fillId="3" borderId="24" xfId="0" applyFont="1" applyFill="1" applyBorder="1" applyAlignment="1">
      <alignment horizontal="center"/>
    </xf>
    <xf numFmtId="0" fontId="16" fillId="2" borderId="12" xfId="0" applyFont="1" applyFill="1" applyBorder="1" applyAlignment="1">
      <alignment horizontal="justify" vertical="center" wrapText="1"/>
    </xf>
    <xf numFmtId="0" fontId="16" fillId="0" borderId="19" xfId="0" applyFont="1" applyBorder="1" applyAlignment="1">
      <alignment horizontal="justify" vertical="center" wrapText="1"/>
    </xf>
    <xf numFmtId="0" fontId="16" fillId="2" borderId="10" xfId="0" applyFont="1" applyFill="1" applyBorder="1" applyAlignment="1">
      <alignment horizontal="justify" vertical="center" wrapText="1"/>
    </xf>
    <xf numFmtId="0" fontId="16" fillId="0" borderId="11" xfId="0" applyFont="1" applyBorder="1" applyAlignment="1">
      <alignment horizontal="justify" vertical="center" wrapText="1"/>
    </xf>
    <xf numFmtId="0" fontId="16" fillId="0" borderId="9" xfId="0" applyFont="1" applyBorder="1" applyAlignment="1">
      <alignment horizontal="justify" vertical="center" wrapText="1"/>
    </xf>
    <xf numFmtId="0" fontId="19" fillId="4" borderId="25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18" fillId="2" borderId="0" xfId="0" applyFont="1" applyFill="1"/>
    <xf numFmtId="0" fontId="19" fillId="4" borderId="25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6" borderId="0" xfId="0" applyFill="1"/>
    <xf numFmtId="0" fontId="0" fillId="7" borderId="0" xfId="0" applyFill="1"/>
    <xf numFmtId="0" fontId="0" fillId="0" borderId="0" xfId="0" quotePrefix="1"/>
    <xf numFmtId="0" fontId="16" fillId="0" borderId="0" xfId="0" applyFont="1" applyAlignment="1">
      <alignment horizontal="justify" vertical="center" wrapText="1"/>
    </xf>
    <xf numFmtId="0" fontId="0" fillId="2" borderId="26" xfId="0" applyFill="1" applyBorder="1"/>
    <xf numFmtId="0" fontId="18" fillId="0" borderId="0" xfId="0" applyFont="1"/>
    <xf numFmtId="0" fontId="0" fillId="0" borderId="27" xfId="0" applyBorder="1"/>
    <xf numFmtId="0" fontId="0" fillId="0" borderId="19" xfId="0" applyBorder="1"/>
    <xf numFmtId="0" fontId="16" fillId="2" borderId="28" xfId="0" applyFont="1" applyFill="1" applyBorder="1" applyAlignment="1">
      <alignment horizontal="justify" vertical="center" wrapText="1"/>
    </xf>
    <xf numFmtId="0" fontId="0" fillId="0" borderId="29" xfId="0" applyBorder="1"/>
    <xf numFmtId="0" fontId="0" fillId="0" borderId="30" xfId="0" applyBorder="1"/>
    <xf numFmtId="0" fontId="20" fillId="0" borderId="0" xfId="0" applyFont="1"/>
    <xf numFmtId="0" fontId="20" fillId="0" borderId="0" xfId="0" applyFont="1" applyAlignment="1">
      <alignment wrapText="1"/>
    </xf>
    <xf numFmtId="0" fontId="4" fillId="4" borderId="0" xfId="0" applyFont="1" applyFill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af.qld.gov.au/__data/assets/pdf_file/0007/69262/IPA-Horseradish-Tree-Risk-Assessment.pdf" TargetMode="External"/><Relationship Id="rId1" Type="http://schemas.openxmlformats.org/officeDocument/2006/relationships/hyperlink" Target="https://doi.org/10.21273/HORTTECH04451-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3DEF1-2911-624B-8AF7-5B5CC12EEC39}">
  <dimension ref="A1:H28"/>
  <sheetViews>
    <sheetView workbookViewId="0">
      <selection activeCell="B26" sqref="B26"/>
    </sheetView>
  </sheetViews>
  <sheetFormatPr baseColWidth="10" defaultRowHeight="16"/>
  <cols>
    <col min="1" max="1" width="23.5" customWidth="1"/>
    <col min="2" max="2" width="31.6640625" customWidth="1"/>
    <col min="3" max="3" width="24" bestFit="1" customWidth="1"/>
    <col min="4" max="4" width="16.5" bestFit="1" customWidth="1"/>
    <col min="5" max="5" width="22.5" customWidth="1"/>
    <col min="6" max="6" width="7.33203125" bestFit="1" customWidth="1"/>
    <col min="7" max="7" width="15.33203125" bestFit="1" customWidth="1"/>
  </cols>
  <sheetData>
    <row r="1" spans="1:8" ht="22" thickBot="1">
      <c r="A1" s="58" t="s">
        <v>37</v>
      </c>
      <c r="B1" s="58"/>
      <c r="C1" s="58"/>
      <c r="D1" s="58"/>
      <c r="E1" s="58"/>
      <c r="F1" s="58"/>
      <c r="G1" s="58"/>
      <c r="H1" s="58"/>
    </row>
    <row r="2" spans="1:8" s="4" customFormat="1" ht="20" thickBot="1">
      <c r="A2" s="31" t="s">
        <v>33</v>
      </c>
      <c r="B2" s="32" t="s">
        <v>74</v>
      </c>
      <c r="C2" s="27" t="s">
        <v>0</v>
      </c>
      <c r="D2" s="28" t="s">
        <v>34</v>
      </c>
      <c r="E2" s="27" t="s">
        <v>36</v>
      </c>
      <c r="F2" s="28" t="s">
        <v>34</v>
      </c>
      <c r="G2" s="27" t="s">
        <v>35</v>
      </c>
      <c r="H2" s="28" t="s">
        <v>34</v>
      </c>
    </row>
    <row r="3" spans="1:8" ht="17">
      <c r="A3" s="33" t="s">
        <v>19</v>
      </c>
      <c r="B3" s="34" t="s">
        <v>42</v>
      </c>
      <c r="C3" s="26" t="s">
        <v>45</v>
      </c>
      <c r="D3" s="7" t="s">
        <v>46</v>
      </c>
      <c r="E3" s="15">
        <v>0.54</v>
      </c>
      <c r="F3" s="11" t="s">
        <v>47</v>
      </c>
      <c r="G3" s="6">
        <v>6.45</v>
      </c>
      <c r="H3" s="7" t="s">
        <v>48</v>
      </c>
    </row>
    <row r="4" spans="1:8" ht="20">
      <c r="A4" s="35" t="s">
        <v>20</v>
      </c>
      <c r="B4" s="36" t="s">
        <v>41</v>
      </c>
      <c r="C4" s="22">
        <v>1.3</v>
      </c>
      <c r="D4" s="14" t="s">
        <v>49</v>
      </c>
      <c r="E4" s="13">
        <v>0.82699999999999996</v>
      </c>
      <c r="F4" s="16" t="s">
        <v>50</v>
      </c>
      <c r="G4" s="18">
        <v>10</v>
      </c>
      <c r="H4" s="19" t="s">
        <v>51</v>
      </c>
    </row>
    <row r="5" spans="1:8" ht="17">
      <c r="A5" s="35" t="s">
        <v>21</v>
      </c>
      <c r="B5" s="36" t="s">
        <v>40</v>
      </c>
      <c r="C5" s="22">
        <v>1.3</v>
      </c>
      <c r="D5" s="14" t="s">
        <v>53</v>
      </c>
      <c r="E5" s="13">
        <v>0.83</v>
      </c>
      <c r="F5" s="12" t="s">
        <v>52</v>
      </c>
      <c r="G5" s="13">
        <v>9</v>
      </c>
      <c r="H5" s="14" t="s">
        <v>63</v>
      </c>
    </row>
    <row r="6" spans="1:8" ht="17">
      <c r="A6" s="35" t="s">
        <v>22</v>
      </c>
      <c r="B6" s="36" t="s">
        <v>39</v>
      </c>
      <c r="C6" s="22">
        <v>0.83</v>
      </c>
      <c r="D6" s="8" t="s">
        <v>54</v>
      </c>
      <c r="E6" s="13">
        <v>0.83399999999999996</v>
      </c>
      <c r="F6" s="17" t="s">
        <v>55</v>
      </c>
      <c r="G6" s="13">
        <v>6</v>
      </c>
      <c r="H6" s="14" t="s">
        <v>56</v>
      </c>
    </row>
    <row r="7" spans="1:8" ht="18">
      <c r="A7" s="35" t="s">
        <v>31</v>
      </c>
      <c r="B7" s="36" t="s">
        <v>38</v>
      </c>
      <c r="C7" s="22" t="s">
        <v>57</v>
      </c>
      <c r="D7" s="14" t="s">
        <v>46</v>
      </c>
      <c r="E7" s="13">
        <v>0.67500000000000004</v>
      </c>
      <c r="F7" s="16" t="s">
        <v>58</v>
      </c>
      <c r="G7" s="18">
        <v>5.36</v>
      </c>
      <c r="H7" s="8" t="s">
        <v>48</v>
      </c>
    </row>
    <row r="8" spans="1:8" ht="20" customHeight="1">
      <c r="A8" s="21" t="s">
        <v>23</v>
      </c>
      <c r="B8" s="25" t="s">
        <v>44</v>
      </c>
      <c r="C8" s="13">
        <v>1.6</v>
      </c>
      <c r="D8" s="14" t="s">
        <v>72</v>
      </c>
      <c r="E8" s="13">
        <v>0.6</v>
      </c>
      <c r="F8" s="16" t="s">
        <v>65</v>
      </c>
      <c r="G8" s="22" t="s">
        <v>64</v>
      </c>
      <c r="H8" s="16" t="s">
        <v>62</v>
      </c>
    </row>
    <row r="9" spans="1:8">
      <c r="B9" s="3"/>
      <c r="H9" s="5"/>
    </row>
    <row r="10" spans="1:8">
      <c r="B10" s="48"/>
    </row>
    <row r="11" spans="1:8" ht="22" thickBot="1">
      <c r="A11" s="58" t="s">
        <v>105</v>
      </c>
      <c r="B11" s="58"/>
      <c r="C11" s="58"/>
      <c r="D11" s="58"/>
      <c r="E11" s="58"/>
      <c r="F11" s="58"/>
      <c r="G11" s="58"/>
      <c r="H11" s="58"/>
    </row>
    <row r="12" spans="1:8" ht="20" thickBot="1">
      <c r="A12" s="27" t="s">
        <v>33</v>
      </c>
      <c r="B12" s="28" t="s">
        <v>74</v>
      </c>
      <c r="C12" s="27" t="s">
        <v>0</v>
      </c>
      <c r="D12" s="28" t="s">
        <v>34</v>
      </c>
      <c r="E12" s="27" t="s">
        <v>36</v>
      </c>
      <c r="F12" s="28" t="s">
        <v>34</v>
      </c>
      <c r="G12" s="29" t="s">
        <v>35</v>
      </c>
      <c r="H12" s="28" t="s">
        <v>34</v>
      </c>
    </row>
    <row r="13" spans="1:8" ht="18" thickBot="1">
      <c r="A13" s="21" t="s">
        <v>106</v>
      </c>
      <c r="B13" s="25" t="s">
        <v>107</v>
      </c>
      <c r="C13" s="13">
        <v>0.4</v>
      </c>
      <c r="D13" s="7" t="s">
        <v>108</v>
      </c>
      <c r="E13" s="13">
        <v>0.88100000000000001</v>
      </c>
      <c r="F13" s="16" t="s">
        <v>109</v>
      </c>
      <c r="G13" s="22">
        <v>25</v>
      </c>
      <c r="H13" s="16" t="s">
        <v>110</v>
      </c>
    </row>
    <row r="14" spans="1:8" ht="17">
      <c r="A14" s="49" t="s">
        <v>111</v>
      </c>
      <c r="B14" s="20" t="s">
        <v>112</v>
      </c>
      <c r="C14" s="22">
        <v>2.2999999999999998</v>
      </c>
      <c r="D14" s="14" t="s">
        <v>113</v>
      </c>
      <c r="E14" s="15">
        <v>0.34</v>
      </c>
      <c r="F14" s="51" t="s">
        <v>114</v>
      </c>
      <c r="G14" s="15" t="s">
        <v>115</v>
      </c>
      <c r="H14" s="52" t="s">
        <v>116</v>
      </c>
    </row>
    <row r="15" spans="1:8" ht="18">
      <c r="A15" s="49" t="s">
        <v>31</v>
      </c>
      <c r="B15" s="36" t="s">
        <v>38</v>
      </c>
      <c r="C15" s="22" t="s">
        <v>57</v>
      </c>
      <c r="D15" s="14" t="s">
        <v>46</v>
      </c>
      <c r="E15" s="13">
        <v>0.67500000000000004</v>
      </c>
      <c r="F15" s="16" t="s">
        <v>58</v>
      </c>
      <c r="G15" s="18">
        <v>5.36</v>
      </c>
      <c r="H15" s="8" t="s">
        <v>48</v>
      </c>
    </row>
    <row r="16" spans="1:8" ht="17">
      <c r="A16" s="21" t="s">
        <v>66</v>
      </c>
      <c r="B16" s="20" t="s">
        <v>67</v>
      </c>
      <c r="C16" s="22">
        <v>1.18</v>
      </c>
      <c r="D16" s="14" t="s">
        <v>73</v>
      </c>
      <c r="E16" s="13">
        <v>0.215</v>
      </c>
      <c r="F16" s="22" t="s">
        <v>68</v>
      </c>
      <c r="G16" s="13" t="s">
        <v>69</v>
      </c>
      <c r="H16" s="16" t="s">
        <v>68</v>
      </c>
    </row>
    <row r="17" spans="1:8" ht="17">
      <c r="A17" s="21" t="s">
        <v>86</v>
      </c>
      <c r="B17" s="20" t="s">
        <v>90</v>
      </c>
      <c r="C17" s="22">
        <f>45/30</f>
        <v>1.5</v>
      </c>
      <c r="D17" s="14" t="s">
        <v>98</v>
      </c>
      <c r="E17" s="13">
        <f>(0.5+0.7)/2</f>
        <v>0.6</v>
      </c>
      <c r="F17" s="22" t="s">
        <v>89</v>
      </c>
      <c r="G17" s="13" t="s">
        <v>87</v>
      </c>
      <c r="H17" s="16" t="s">
        <v>88</v>
      </c>
    </row>
    <row r="18" spans="1:8" ht="17">
      <c r="A18" s="53" t="s">
        <v>117</v>
      </c>
      <c r="B18" s="20" t="s">
        <v>118</v>
      </c>
      <c r="C18">
        <v>0.36</v>
      </c>
      <c r="D18" t="s">
        <v>119</v>
      </c>
      <c r="E18" s="54">
        <v>0.36</v>
      </c>
      <c r="F18" t="s">
        <v>114</v>
      </c>
      <c r="G18" s="54"/>
      <c r="H18" s="12" t="s">
        <v>119</v>
      </c>
    </row>
    <row r="19" spans="1:8" ht="17" thickBot="1">
      <c r="A19" s="23"/>
      <c r="B19" s="37"/>
      <c r="C19" s="24"/>
      <c r="D19" s="10"/>
      <c r="E19" s="9"/>
      <c r="F19" s="24"/>
      <c r="G19" s="9"/>
      <c r="H19" s="10"/>
    </row>
    <row r="21" spans="1:8" ht="22" thickBot="1">
      <c r="A21" s="58" t="s">
        <v>120</v>
      </c>
      <c r="B21" s="58"/>
      <c r="C21" s="58"/>
      <c r="D21" s="58"/>
      <c r="E21" s="58"/>
      <c r="F21" s="58"/>
      <c r="G21" s="58"/>
      <c r="H21" s="58"/>
    </row>
    <row r="22" spans="1:8" ht="20" thickBot="1">
      <c r="A22" s="27" t="s">
        <v>33</v>
      </c>
      <c r="B22" s="28" t="s">
        <v>74</v>
      </c>
      <c r="C22" s="27" t="s">
        <v>0</v>
      </c>
      <c r="D22" s="28" t="s">
        <v>34</v>
      </c>
      <c r="E22" s="27" t="s">
        <v>36</v>
      </c>
      <c r="F22" s="28" t="s">
        <v>34</v>
      </c>
      <c r="G22" s="29" t="s">
        <v>35</v>
      </c>
      <c r="H22" s="28" t="s">
        <v>34</v>
      </c>
    </row>
    <row r="23" spans="1:8" ht="17">
      <c r="A23" s="21" t="s">
        <v>121</v>
      </c>
      <c r="B23" s="25" t="s">
        <v>107</v>
      </c>
      <c r="C23" s="13">
        <v>0.4</v>
      </c>
      <c r="D23" s="7" t="s">
        <v>108</v>
      </c>
      <c r="E23" s="15">
        <v>0.88100000000000001</v>
      </c>
      <c r="F23" s="52" t="s">
        <v>109</v>
      </c>
      <c r="G23" s="51">
        <v>25</v>
      </c>
      <c r="H23" s="52" t="s">
        <v>110</v>
      </c>
    </row>
    <row r="24" spans="1:8" ht="17">
      <c r="A24" s="49" t="s">
        <v>111</v>
      </c>
      <c r="B24" s="20" t="s">
        <v>112</v>
      </c>
      <c r="C24" s="22">
        <v>2.2999999999999998</v>
      </c>
      <c r="D24" s="14" t="s">
        <v>113</v>
      </c>
      <c r="E24" s="18">
        <v>0.34</v>
      </c>
      <c r="F24" s="55" t="s">
        <v>114</v>
      </c>
      <c r="G24" s="18" t="s">
        <v>115</v>
      </c>
      <c r="H24" s="17" t="s">
        <v>116</v>
      </c>
    </row>
    <row r="25" spans="1:8" ht="17">
      <c r="A25" s="21" t="s">
        <v>9</v>
      </c>
      <c r="B25" s="25" t="s">
        <v>43</v>
      </c>
      <c r="C25" s="13">
        <v>1</v>
      </c>
      <c r="D25" s="8" t="s">
        <v>59</v>
      </c>
      <c r="E25" s="13">
        <v>0.64</v>
      </c>
      <c r="F25" s="16" t="s">
        <v>114</v>
      </c>
      <c r="G25" s="22" t="s">
        <v>61</v>
      </c>
      <c r="H25" s="16" t="s">
        <v>60</v>
      </c>
    </row>
    <row r="26" spans="1:8" ht="17">
      <c r="A26" s="21" t="s">
        <v>122</v>
      </c>
      <c r="B26" s="20" t="s">
        <v>123</v>
      </c>
      <c r="C26" s="22">
        <v>1</v>
      </c>
      <c r="D26" s="14" t="s">
        <v>124</v>
      </c>
      <c r="E26" s="13">
        <v>0.49</v>
      </c>
      <c r="F26" s="22" t="s">
        <v>114</v>
      </c>
      <c r="G26" s="13">
        <v>25</v>
      </c>
      <c r="H26" s="16" t="s">
        <v>124</v>
      </c>
    </row>
    <row r="27" spans="1:8" ht="18">
      <c r="A27" s="49" t="s">
        <v>31</v>
      </c>
      <c r="B27" s="36" t="s">
        <v>38</v>
      </c>
      <c r="C27" s="22" t="s">
        <v>57</v>
      </c>
      <c r="D27" s="14" t="s">
        <v>46</v>
      </c>
      <c r="E27" s="13">
        <v>0.67500000000000004</v>
      </c>
      <c r="F27" s="16" t="s">
        <v>58</v>
      </c>
      <c r="G27" s="18">
        <v>5.36</v>
      </c>
      <c r="H27" s="8" t="s">
        <v>48</v>
      </c>
    </row>
    <row r="28" spans="1:8" ht="17" thickBot="1">
      <c r="A28" s="23"/>
      <c r="B28" s="37"/>
      <c r="C28" s="24"/>
      <c r="D28" s="10"/>
      <c r="E28" s="9"/>
      <c r="F28" s="24"/>
      <c r="G28" s="9"/>
      <c r="H28" s="10"/>
    </row>
  </sheetData>
  <mergeCells count="3">
    <mergeCell ref="A11:H11"/>
    <mergeCell ref="A1:H1"/>
    <mergeCell ref="A21:H21"/>
  </mergeCells>
  <hyperlinks>
    <hyperlink ref="D4" r:id="rId1" display="https://doi.org/10.21273/HORTTECH04451-20" xr:uid="{B203A5D4-F07B-074C-8520-EB8BCC708284}"/>
    <hyperlink ref="D17" r:id="rId2" display="https://www.daf.qld.gov.au/__data/assets/pdf_file/0007/69262/IPA-Horseradish-Tree-Risk-Assessment.pdf" xr:uid="{A17445D2-F083-E149-A894-D31774A9EC2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CDBF4-716A-6049-B52B-61525DBE5497}">
  <dimension ref="A1:D26"/>
  <sheetViews>
    <sheetView workbookViewId="0">
      <selection activeCell="D21" sqref="D21"/>
    </sheetView>
  </sheetViews>
  <sheetFormatPr baseColWidth="10" defaultRowHeight="16"/>
  <cols>
    <col min="1" max="1" width="16.83203125" customWidth="1"/>
    <col min="2" max="2" width="51.83203125" bestFit="1" customWidth="1"/>
    <col min="3" max="3" width="51.83203125" customWidth="1"/>
  </cols>
  <sheetData>
    <row r="1" spans="1:4">
      <c r="B1" t="s">
        <v>75</v>
      </c>
    </row>
    <row r="2" spans="1:4" ht="20">
      <c r="A2" s="42" t="s">
        <v>6</v>
      </c>
      <c r="B2" t="s">
        <v>76</v>
      </c>
    </row>
    <row r="3" spans="1:4" ht="20">
      <c r="A3" s="42" t="s">
        <v>4</v>
      </c>
      <c r="B3" t="s">
        <v>99</v>
      </c>
    </row>
    <row r="4" spans="1:4" ht="33" customHeight="1">
      <c r="A4" s="42" t="s">
        <v>84</v>
      </c>
      <c r="B4" s="43" t="s">
        <v>100</v>
      </c>
    </row>
    <row r="5" spans="1:4" ht="20">
      <c r="A5" s="42" t="s">
        <v>5</v>
      </c>
      <c r="B5" t="s">
        <v>96</v>
      </c>
    </row>
    <row r="6" spans="1:4" ht="20">
      <c r="A6" s="42" t="s">
        <v>24</v>
      </c>
      <c r="B6" t="s">
        <v>77</v>
      </c>
    </row>
    <row r="7" spans="1:4" ht="20">
      <c r="A7" s="42" t="s">
        <v>7</v>
      </c>
      <c r="B7" t="s">
        <v>78</v>
      </c>
    </row>
    <row r="8" spans="1:4" ht="20">
      <c r="A8" s="42" t="s">
        <v>8</v>
      </c>
      <c r="B8" t="s">
        <v>97</v>
      </c>
    </row>
    <row r="9" spans="1:4" ht="51">
      <c r="A9" s="42" t="s">
        <v>13</v>
      </c>
      <c r="B9" s="50" t="s">
        <v>79</v>
      </c>
      <c r="C9" s="57" t="s">
        <v>139</v>
      </c>
    </row>
    <row r="10" spans="1:4" ht="36" customHeight="1">
      <c r="A10" s="42" t="s">
        <v>10</v>
      </c>
      <c r="B10" t="s">
        <v>82</v>
      </c>
    </row>
    <row r="11" spans="1:4" ht="44" customHeight="1">
      <c r="A11" s="42" t="s">
        <v>11</v>
      </c>
      <c r="B11" s="50" t="s">
        <v>83</v>
      </c>
      <c r="C11" s="56" t="s">
        <v>136</v>
      </c>
      <c r="D11" s="56" t="s">
        <v>138</v>
      </c>
    </row>
    <row r="12" spans="1:4" ht="51" customHeight="1">
      <c r="A12" s="42" t="s">
        <v>12</v>
      </c>
      <c r="B12" t="s">
        <v>80</v>
      </c>
    </row>
    <row r="13" spans="1:4" ht="42" customHeight="1">
      <c r="A13" s="42" t="s">
        <v>15</v>
      </c>
      <c r="B13" t="s">
        <v>81</v>
      </c>
    </row>
    <row r="16" spans="1:4">
      <c r="A16" s="56" t="s">
        <v>140</v>
      </c>
      <c r="B16" s="56" t="s">
        <v>133</v>
      </c>
      <c r="C16" s="56">
        <f>C17*C18*C19*C20</f>
        <v>40.775320000000001</v>
      </c>
      <c r="D16" s="56"/>
    </row>
    <row r="17" spans="1:4">
      <c r="A17" s="56"/>
      <c r="B17" s="56" t="s">
        <v>127</v>
      </c>
      <c r="C17" s="56">
        <v>47</v>
      </c>
      <c r="D17" s="56" t="s">
        <v>141</v>
      </c>
    </row>
    <row r="18" spans="1:4">
      <c r="A18" s="56"/>
      <c r="B18" s="56" t="s">
        <v>128</v>
      </c>
      <c r="C18" s="56">
        <v>0.82</v>
      </c>
      <c r="D18" s="56" t="s">
        <v>142</v>
      </c>
    </row>
    <row r="19" spans="1:4">
      <c r="A19" s="56"/>
      <c r="B19" s="56" t="s">
        <v>129</v>
      </c>
      <c r="C19" s="56">
        <v>1.1499999999999999</v>
      </c>
      <c r="D19" s="56" t="s">
        <v>143</v>
      </c>
    </row>
    <row r="20" spans="1:4">
      <c r="A20" s="56"/>
      <c r="B20" s="56" t="s">
        <v>130</v>
      </c>
      <c r="C20" s="56">
        <v>0.92</v>
      </c>
      <c r="D20" s="56" t="s">
        <v>144</v>
      </c>
    </row>
    <row r="21" spans="1:4">
      <c r="A21" s="56"/>
      <c r="B21" s="56"/>
      <c r="C21" s="56"/>
      <c r="D21" s="56"/>
    </row>
    <row r="22" spans="1:4">
      <c r="A22" s="56"/>
      <c r="B22" s="56" t="s">
        <v>131</v>
      </c>
      <c r="C22" s="56">
        <v>0</v>
      </c>
      <c r="D22" s="56" t="s">
        <v>135</v>
      </c>
    </row>
    <row r="23" spans="1:4">
      <c r="A23" s="56"/>
      <c r="B23" s="56"/>
      <c r="C23" s="56"/>
      <c r="D23" s="56"/>
    </row>
    <row r="24" spans="1:4">
      <c r="A24" s="56"/>
      <c r="B24" s="56" t="s">
        <v>134</v>
      </c>
      <c r="C24" s="56">
        <f>(C17-(C16-C22))/C25</f>
        <v>0.2074893333333333</v>
      </c>
      <c r="D24" s="56" t="s">
        <v>137</v>
      </c>
    </row>
    <row r="25" spans="1:4">
      <c r="A25" s="56"/>
      <c r="B25" s="56" t="s">
        <v>132</v>
      </c>
      <c r="C25" s="56">
        <v>30</v>
      </c>
      <c r="D25" s="56"/>
    </row>
    <row r="26" spans="1:4">
      <c r="A26" s="56"/>
      <c r="B26" s="56"/>
      <c r="C26" s="56"/>
      <c r="D26" s="5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32E77-ECEA-D641-BBAE-7999A028E081}">
  <dimension ref="A5:BJ39"/>
  <sheetViews>
    <sheetView tabSelected="1" topLeftCell="A5" zoomScale="88" zoomScaleNormal="110" workbookViewId="0">
      <pane xSplit="1" topLeftCell="AW1" activePane="topRight" state="frozen"/>
      <selection pane="topRight" activeCell="BE11" sqref="BE11"/>
    </sheetView>
  </sheetViews>
  <sheetFormatPr baseColWidth="10" defaultRowHeight="16"/>
  <cols>
    <col min="1" max="1" width="21.5" customWidth="1"/>
    <col min="2" max="2" width="12.83203125" bestFit="1" customWidth="1"/>
    <col min="3" max="3" width="16.83203125" bestFit="1" customWidth="1"/>
    <col min="4" max="4" width="12.1640625" bestFit="1" customWidth="1"/>
    <col min="5" max="5" width="15.1640625" bestFit="1" customWidth="1"/>
    <col min="6" max="6" width="12.1640625" bestFit="1" customWidth="1"/>
    <col min="7" max="7" width="15.1640625" bestFit="1" customWidth="1"/>
    <col min="8" max="8" width="14.1640625" bestFit="1" customWidth="1"/>
    <col min="10" max="10" width="12.83203125" bestFit="1" customWidth="1"/>
    <col min="11" max="11" width="16.83203125" bestFit="1" customWidth="1"/>
    <col min="12" max="12" width="10.1640625" bestFit="1" customWidth="1"/>
    <col min="13" max="14" width="12.1640625" bestFit="1" customWidth="1"/>
    <col min="15" max="15" width="15.1640625" bestFit="1" customWidth="1"/>
    <col min="16" max="16" width="14.1640625" bestFit="1" customWidth="1"/>
    <col min="18" max="18" width="12.83203125" bestFit="1" customWidth="1"/>
    <col min="19" max="19" width="16.83203125" bestFit="1" customWidth="1"/>
    <col min="20" max="20" width="10.1640625" bestFit="1" customWidth="1"/>
    <col min="21" max="22" width="12.1640625" bestFit="1" customWidth="1"/>
    <col min="23" max="23" width="15.1640625" bestFit="1" customWidth="1"/>
    <col min="24" max="24" width="14.1640625" bestFit="1" customWidth="1"/>
    <col min="26" max="26" width="12.83203125" bestFit="1" customWidth="1"/>
    <col min="27" max="27" width="16.83203125" bestFit="1" customWidth="1"/>
    <col min="28" max="28" width="10.1640625" bestFit="1" customWidth="1"/>
    <col min="29" max="30" width="12.1640625" bestFit="1" customWidth="1"/>
    <col min="31" max="31" width="15.1640625" bestFit="1" customWidth="1"/>
    <col min="32" max="32" width="14.1640625" bestFit="1" customWidth="1"/>
    <col min="34" max="34" width="12.83203125" bestFit="1" customWidth="1"/>
    <col min="35" max="35" width="16.83203125" bestFit="1" customWidth="1"/>
    <col min="36" max="38" width="12.1640625" bestFit="1" customWidth="1"/>
    <col min="39" max="39" width="15.1640625" bestFit="1" customWidth="1"/>
    <col min="40" max="40" width="14.1640625" bestFit="1" customWidth="1"/>
    <col min="43" max="43" width="12.33203125" bestFit="1" customWidth="1"/>
    <col min="44" max="44" width="10.6640625" customWidth="1"/>
    <col min="45" max="45" width="11.5" customWidth="1"/>
    <col min="46" max="46" width="10.1640625" customWidth="1"/>
    <col min="47" max="47" width="11.5" customWidth="1"/>
    <col min="48" max="48" width="13.33203125" customWidth="1"/>
    <col min="50" max="50" width="22.33203125" bestFit="1" customWidth="1"/>
    <col min="52" max="52" width="15.1640625" bestFit="1" customWidth="1"/>
    <col min="54" max="54" width="18.5" bestFit="1" customWidth="1"/>
  </cols>
  <sheetData>
    <row r="5" spans="1:62">
      <c r="B5" s="44" t="s">
        <v>84</v>
      </c>
      <c r="C5">
        <v>0.1595973</v>
      </c>
      <c r="E5" t="s">
        <v>101</v>
      </c>
      <c r="F5">
        <v>0.47499999999999998</v>
      </c>
      <c r="H5" s="45" t="s">
        <v>102</v>
      </c>
      <c r="I5" s="46" t="s">
        <v>85</v>
      </c>
    </row>
    <row r="6" spans="1:62" s="42" customFormat="1" ht="80">
      <c r="A6" s="42" t="s">
        <v>1</v>
      </c>
      <c r="B6" s="42" t="s">
        <v>2</v>
      </c>
      <c r="C6" s="42" t="s">
        <v>6</v>
      </c>
      <c r="D6" s="42" t="s">
        <v>4</v>
      </c>
      <c r="E6" s="42" t="s">
        <v>5</v>
      </c>
      <c r="F6" s="42" t="s">
        <v>24</v>
      </c>
      <c r="G6" s="42" t="s">
        <v>7</v>
      </c>
      <c r="H6" s="42" t="s">
        <v>8</v>
      </c>
      <c r="J6" s="42" t="s">
        <v>2</v>
      </c>
      <c r="K6" s="42" t="s">
        <v>6</v>
      </c>
      <c r="L6" s="42" t="s">
        <v>4</v>
      </c>
      <c r="M6" s="42" t="s">
        <v>5</v>
      </c>
      <c r="N6" s="42" t="s">
        <v>3</v>
      </c>
      <c r="O6" s="42" t="s">
        <v>7</v>
      </c>
      <c r="P6" s="42" t="s">
        <v>8</v>
      </c>
      <c r="R6" s="42" t="s">
        <v>2</v>
      </c>
      <c r="S6" s="42" t="s">
        <v>6</v>
      </c>
      <c r="T6" s="42" t="s">
        <v>4</v>
      </c>
      <c r="U6" s="42" t="s">
        <v>5</v>
      </c>
      <c r="V6" s="42" t="s">
        <v>3</v>
      </c>
      <c r="W6" s="42" t="s">
        <v>7</v>
      </c>
      <c r="X6" s="42" t="s">
        <v>8</v>
      </c>
      <c r="Z6" s="42" t="s">
        <v>2</v>
      </c>
      <c r="AA6" s="42" t="s">
        <v>6</v>
      </c>
      <c r="AB6" s="42" t="s">
        <v>4</v>
      </c>
      <c r="AC6" s="42" t="s">
        <v>5</v>
      </c>
      <c r="AD6" s="42" t="s">
        <v>3</v>
      </c>
      <c r="AE6" s="42" t="s">
        <v>7</v>
      </c>
      <c r="AF6" s="42" t="s">
        <v>8</v>
      </c>
      <c r="AH6" s="42" t="s">
        <v>2</v>
      </c>
      <c r="AI6" s="42" t="s">
        <v>6</v>
      </c>
      <c r="AJ6" s="42" t="s">
        <v>4</v>
      </c>
      <c r="AK6" s="42" t="s">
        <v>5</v>
      </c>
      <c r="AL6" s="42" t="s">
        <v>3</v>
      </c>
      <c r="AM6" s="42" t="s">
        <v>7</v>
      </c>
      <c r="AN6" s="42" t="s">
        <v>8</v>
      </c>
      <c r="AP6" s="42" t="s">
        <v>2</v>
      </c>
      <c r="AQ6" s="42" t="s">
        <v>6</v>
      </c>
      <c r="AR6" s="42" t="s">
        <v>4</v>
      </c>
      <c r="AS6" s="42" t="s">
        <v>5</v>
      </c>
      <c r="AT6" s="42" t="s">
        <v>3</v>
      </c>
      <c r="AU6" s="42" t="s">
        <v>7</v>
      </c>
      <c r="AV6" s="42" t="s">
        <v>8</v>
      </c>
      <c r="AX6" s="42" t="s">
        <v>13</v>
      </c>
      <c r="AY6" s="42" t="s">
        <v>14</v>
      </c>
      <c r="AZ6" s="42" t="s">
        <v>10</v>
      </c>
      <c r="BA6" s="42" t="s">
        <v>11</v>
      </c>
      <c r="BB6" s="42" t="s">
        <v>12</v>
      </c>
      <c r="BC6" s="42" t="s">
        <v>15</v>
      </c>
      <c r="BE6" s="42" t="s">
        <v>71</v>
      </c>
      <c r="BG6" s="42" t="s">
        <v>16</v>
      </c>
      <c r="BH6" s="42" t="s">
        <v>94</v>
      </c>
      <c r="BI6" s="42" t="s">
        <v>70</v>
      </c>
      <c r="BJ6" s="42" t="s">
        <v>95</v>
      </c>
    </row>
    <row r="7" spans="1:62">
      <c r="A7" s="39">
        <v>0</v>
      </c>
      <c r="B7" s="40" t="s">
        <v>25</v>
      </c>
      <c r="C7">
        <v>0.54</v>
      </c>
      <c r="D7" s="45">
        <f>A7*1.3*0.93</f>
        <v>0</v>
      </c>
      <c r="E7">
        <v>0</v>
      </c>
      <c r="F7">
        <f>0.0673*(C7*D7^2*E7)^0.976</f>
        <v>0</v>
      </c>
      <c r="G7">
        <v>60</v>
      </c>
      <c r="H7">
        <f>F7*G7*$F$5</f>
        <v>0</v>
      </c>
      <c r="J7" s="40" t="s">
        <v>26</v>
      </c>
      <c r="K7">
        <v>0.82699999999999996</v>
      </c>
      <c r="L7" s="46">
        <f>A7*1.2*0.93</f>
        <v>0</v>
      </c>
      <c r="M7">
        <f>IF(50.453*(1-EXP(-0.047*L7^(0.812)))&gt;10, 10, 50.453*(1-EXP(-0.047*L7^(0.812))))</f>
        <v>0</v>
      </c>
      <c r="N7">
        <f>0.0673*(K7*L7^2*M7)^0.976</f>
        <v>0</v>
      </c>
      <c r="O7">
        <v>60</v>
      </c>
      <c r="P7">
        <f>N7*O7*$F$5</f>
        <v>0</v>
      </c>
      <c r="R7" s="40" t="s">
        <v>27</v>
      </c>
      <c r="S7">
        <v>0.83399999999999996</v>
      </c>
      <c r="T7" s="45">
        <f>$A7*0.83*0.93</f>
        <v>0</v>
      </c>
      <c r="U7">
        <f>IF(50.453*(1-EXP(-0.047*T7^(0.812)))&gt;8, 8, 50.453*(1-EXP(-0.047*T7^(0.812))))</f>
        <v>0</v>
      </c>
      <c r="V7">
        <f>0.0673*(S7*T7^2*U7)^0.976</f>
        <v>0</v>
      </c>
      <c r="W7">
        <v>60</v>
      </c>
      <c r="X7">
        <f>V7*W7*$F$5</f>
        <v>0</v>
      </c>
      <c r="Z7" s="40" t="s">
        <v>28</v>
      </c>
      <c r="AA7">
        <v>0.83</v>
      </c>
      <c r="AB7" s="46">
        <f>A7*0.96*0.93</f>
        <v>0</v>
      </c>
      <c r="AC7">
        <f>IF(50.453*(1-EXP(-0.047*AB7^(0.812)))&gt;4, 4, 50.453*(1-EXP(-0.047*AB7^(0.812))))</f>
        <v>0</v>
      </c>
      <c r="AD7">
        <f>0.0673*(AA7*AB7^2*AC7)^0.976</f>
        <v>0</v>
      </c>
      <c r="AE7">
        <v>60</v>
      </c>
      <c r="AF7">
        <f>AD7*AE7*$F$5</f>
        <v>0</v>
      </c>
      <c r="AH7" s="40" t="s">
        <v>29</v>
      </c>
      <c r="AI7">
        <v>0.67500000000000004</v>
      </c>
      <c r="AJ7" s="45">
        <f>0*0.93</f>
        <v>0</v>
      </c>
      <c r="AK7">
        <f>IF(50.453*(1-EXP(-0.047*AJ7^(0.812)))&gt;25, 25, 50.453*(1-EXP(-0.047*AJ7^(0.812))))</f>
        <v>0</v>
      </c>
      <c r="AL7">
        <f>0.0673*(AI7*AJ7^2*AK7)^0.976</f>
        <v>0</v>
      </c>
      <c r="AM7">
        <v>60</v>
      </c>
      <c r="AN7">
        <f>AL7*AM7*$F$5</f>
        <v>0</v>
      </c>
      <c r="AP7" s="41" t="s">
        <v>23</v>
      </c>
      <c r="AQ7">
        <v>0.6</v>
      </c>
      <c r="AR7" s="46">
        <f>$A7*1.26*0.93</f>
        <v>0</v>
      </c>
      <c r="AS7">
        <v>0</v>
      </c>
      <c r="AT7">
        <f>0.0673*(AQ7*AR7^2*AS7)^0.976</f>
        <v>0</v>
      </c>
      <c r="AU7">
        <v>60</v>
      </c>
      <c r="AV7">
        <f>AT7*AU7*$F$5</f>
        <v>0</v>
      </c>
      <c r="AX7">
        <v>0</v>
      </c>
      <c r="AY7">
        <f>AX7*3.67</f>
        <v>0</v>
      </c>
      <c r="AZ7">
        <f>SUM(H7,P7,X7,AF7,AN7,AV7)*3.67/1000</f>
        <v>0</v>
      </c>
      <c r="BA7">
        <f>AZ7*0.33</f>
        <v>0</v>
      </c>
      <c r="BB7">
        <f>AZ7+BA7</f>
        <v>0</v>
      </c>
      <c r="BC7">
        <f>BB7+AY7</f>
        <v>0</v>
      </c>
      <c r="BE7">
        <v>9.77</v>
      </c>
      <c r="BG7">
        <f>SUM(AM37,AE37,W37,O37,G37,AU37)</f>
        <v>186.77686980258733</v>
      </c>
      <c r="BH7">
        <f>SUM(G7,O7,W7,AE7,AM7,AU7)</f>
        <v>360</v>
      </c>
      <c r="BI7">
        <f>AVERAGE(D7,L7,T7,AB7,AJ7,AR7)</f>
        <v>0</v>
      </c>
      <c r="BJ7">
        <f>SUM(D7*G7,L7*O7,T7*W7,AB7*AE7,AJ7*AM7,AR7*AU7)/BH7</f>
        <v>0</v>
      </c>
    </row>
    <row r="8" spans="1:62">
      <c r="A8" s="39">
        <v>1</v>
      </c>
      <c r="B8" s="40" t="s">
        <v>25</v>
      </c>
      <c r="C8">
        <v>0.54</v>
      </c>
      <c r="D8" s="45">
        <f>A8*1.3*0.93</f>
        <v>1.2090000000000001</v>
      </c>
      <c r="E8">
        <f>IF(EXP(0.893-$C$5+0.76*LN(D8)-0.034*(LN(D8))^2)&gt;20, 20, EXP(0.893-$C$5+0.76*LN(D8)-0.034*(LN(D8))^2))</f>
        <v>2.4022867111557256</v>
      </c>
      <c r="F8">
        <f t="shared" ref="F8:F37" si="0">0.0673*(C8*D8^2*E8)^0.976</f>
        <v>0.12566587393184619</v>
      </c>
      <c r="G8">
        <f>G7*0.6</f>
        <v>36</v>
      </c>
      <c r="H8">
        <f t="shared" ref="H8:H37" si="1">F8*G8*$F$5</f>
        <v>2.1488864442345696</v>
      </c>
      <c r="J8" s="40" t="s">
        <v>26</v>
      </c>
      <c r="K8">
        <v>0.82699999999999996</v>
      </c>
      <c r="L8" s="46">
        <f t="shared" ref="L8:L37" si="2">A8*1.2*0.93</f>
        <v>1.1160000000000001</v>
      </c>
      <c r="M8">
        <f>IF(EXP(0.893-$C$5+0.76*LN(L8)-0.034*(LN(L8))^2)&gt;10, 10, EXP(0.893-$C$5+0.76*LN(L8)-0.034*(LN(L8))^2))</f>
        <v>2.2623493710319655</v>
      </c>
      <c r="N8">
        <f t="shared" ref="N8:N37" si="3">0.0673*(K8*L8^2*M8)^0.976</f>
        <v>0.15367074276443529</v>
      </c>
      <c r="O8">
        <f>O7*0.6</f>
        <v>36</v>
      </c>
      <c r="P8">
        <f t="shared" ref="P8:P37" si="4">N8*O8*$F$5</f>
        <v>2.6277697012718435</v>
      </c>
      <c r="R8" s="40" t="s">
        <v>27</v>
      </c>
      <c r="S8">
        <v>0.83399999999999996</v>
      </c>
      <c r="T8" s="45">
        <f t="shared" ref="T8:T37" si="5">$A8*0.83*0.93</f>
        <v>0.77190000000000003</v>
      </c>
      <c r="U8">
        <f>IF(EXP(0.893-$C$5+0.76*LN(T8)-0.034*(LN(T8))^2)&gt;8, 8, EXP(0.893-$C$5+0.76*LN(T8)-0.034*(LN(T8))^2))</f>
        <v>1.7063549651720271</v>
      </c>
      <c r="V8">
        <f t="shared" ref="V8:V37" si="6">0.0673*(S8*T8^2*U8)^0.976</f>
        <v>5.7291737964588536E-2</v>
      </c>
      <c r="W8">
        <f>W7*0.6</f>
        <v>36</v>
      </c>
      <c r="X8">
        <f>V8*W8*$F$5</f>
        <v>0.97968871919446399</v>
      </c>
      <c r="Z8" s="40" t="s">
        <v>28</v>
      </c>
      <c r="AA8">
        <v>0.83</v>
      </c>
      <c r="AB8" s="46">
        <f t="shared" ref="AB8:AB37" si="7">A8*0.96*0.93</f>
        <v>0.89280000000000004</v>
      </c>
      <c r="AC8">
        <f>IF(EXP(0.893-$C$5+0.76*LN(AB8)-0.034*(LN(AB8))^2)&gt;4, 4, EXP(0.893-$C$5+0.76*LN(AB8)-0.034*(LN(AB8))^2))</f>
        <v>1.9093962430220195</v>
      </c>
      <c r="AD8">
        <f t="shared" ref="AD8:AD37" si="8">0.0673*(AA8*AB8^2*AC8)^0.976</f>
        <v>8.4539953190434974E-2</v>
      </c>
      <c r="AE8">
        <f>AE7*0.6</f>
        <v>36</v>
      </c>
      <c r="AF8">
        <f t="shared" ref="AF8:AF37" si="9">AD8*AE8*$F$5</f>
        <v>1.445633199556438</v>
      </c>
      <c r="AH8" s="40" t="s">
        <v>29</v>
      </c>
      <c r="AI8">
        <v>0.67500000000000004</v>
      </c>
      <c r="AJ8" s="45">
        <f>(AJ9/2)*0.93</f>
        <v>0.20744065371661924</v>
      </c>
      <c r="AK8">
        <f>IF(EXP(0.893-$C$5+0.76*LN(AJ8)-0.034*(LN(AJ8))^2)&gt;25, 25, EXP(0.893-$C$5+0.76*LN(AJ8)-0.034*(LN(AJ8))^2))</f>
        <v>0.57918898961833309</v>
      </c>
      <c r="AL8">
        <f t="shared" ref="AL8:AL37" si="10">0.0673*(AI8*AJ8^2*AK8)^0.976</f>
        <v>1.248834809528185E-3</v>
      </c>
      <c r="AM8">
        <f>AM7*0.6</f>
        <v>36</v>
      </c>
      <c r="AN8">
        <f t="shared" ref="AN8:AN37" si="11">AL8*AM8*$F$5</f>
        <v>2.1355075242931964E-2</v>
      </c>
      <c r="AP8" s="41" t="s">
        <v>23</v>
      </c>
      <c r="AQ8">
        <v>0.6</v>
      </c>
      <c r="AR8" s="46">
        <f t="shared" ref="AR8:AR37" si="12">$A8*1.26*0.93</f>
        <v>1.1718000000000002</v>
      </c>
      <c r="AS8">
        <f>IF(EXP(0.893-$C$5+0.76*LN(AR8)-0.034*(LN(AR8))^2)&gt;22.5, 22.5, EXP(0.893-$C$5+0.76*LN(AR8)-0.034*(LN(AR8))^2))</f>
        <v>2.3467685168324857</v>
      </c>
      <c r="AT8">
        <f t="shared" ref="AT8:AT37" si="13">0.0673*(AQ8*AR8^2*AS8)^0.976</f>
        <v>0.12807715485095181</v>
      </c>
      <c r="AU8">
        <f>AU7*0.6</f>
        <v>36</v>
      </c>
      <c r="AV8">
        <f t="shared" ref="AV8:AV37" si="14">AT8*AU8*$F$5</f>
        <v>2.1901193479512759</v>
      </c>
      <c r="AX8">
        <f>AX7+Calculations!$C$24</f>
        <v>0.2074893333333333</v>
      </c>
      <c r="AY8">
        <f t="shared" ref="AY8:AY37" si="15">AX8*3.67</f>
        <v>0.76148585333333318</v>
      </c>
      <c r="AZ8">
        <f t="shared" ref="AZ8:AZ36" si="16">SUM(H8,P8,X8,AF8,AN8,AV8)*3.67/1000</f>
        <v>3.4547370628947083E-2</v>
      </c>
      <c r="BA8">
        <f t="shared" ref="BA8:BA37" si="17">AZ8*0.33</f>
        <v>1.1400632307552538E-2</v>
      </c>
      <c r="BB8">
        <f t="shared" ref="BB8:BB37" si="18">AZ8+BA8</f>
        <v>4.5948002936499623E-2</v>
      </c>
      <c r="BC8">
        <f t="shared" ref="BC8:BC36" si="19">BB8+AY8</f>
        <v>0.80743385626983277</v>
      </c>
      <c r="BH8">
        <f t="shared" ref="BH8:BH37" si="20">SUM(G8,O8,W8,AE8,AM8,AU8)</f>
        <v>216</v>
      </c>
      <c r="BI8">
        <f t="shared" ref="BI8:BI37" si="21">AVERAGE(D8,L8,T8,AB8,AJ8,AR8)</f>
        <v>0.89482344228610333</v>
      </c>
      <c r="BJ8">
        <f t="shared" ref="BJ8:BJ37" si="22">SUM(D8*G8,L8*O8,T8*W8,AB8*AE8,AJ8*AM8,AR8*AU8)/BH8</f>
        <v>0.89482344228610344</v>
      </c>
    </row>
    <row r="9" spans="1:62" ht="19">
      <c r="A9" s="39">
        <v>2</v>
      </c>
      <c r="B9" s="40" t="s">
        <v>25</v>
      </c>
      <c r="C9">
        <v>0.54</v>
      </c>
      <c r="D9" s="45">
        <f>A9*1.3*0.93</f>
        <v>2.4180000000000001</v>
      </c>
      <c r="E9">
        <f t="shared" ref="E9:E37" si="23">IF(EXP(0.893-$C$5+0.76*LN(D9)-0.034*(LN(D9))^2)&gt;20, 20, EXP(0.893-$C$5+0.76*LN(D9)-0.034*(LN(D9))^2))</f>
        <v>3.9666892433038154</v>
      </c>
      <c r="F9">
        <f t="shared" si="0"/>
        <v>0.79323883281578411</v>
      </c>
      <c r="G9">
        <f>G8*0.995</f>
        <v>35.82</v>
      </c>
      <c r="H9">
        <f t="shared" si="1"/>
        <v>13.496562120944159</v>
      </c>
      <c r="J9" s="40" t="s">
        <v>26</v>
      </c>
      <c r="K9">
        <v>0.82699999999999996</v>
      </c>
      <c r="L9" s="46">
        <f t="shared" si="2"/>
        <v>2.2320000000000002</v>
      </c>
      <c r="M9">
        <f t="shared" ref="M9:M37" si="24">IF(EXP(0.893-$C$5+0.76*LN(L9)-0.034*(LN(L9))^2)&gt;10, 10, EXP(0.893-$C$5+0.76*LN(L9)-0.034*(LN(L9))^2))</f>
        <v>3.7497428888488935</v>
      </c>
      <c r="N9">
        <f t="shared" si="3"/>
        <v>0.97359190747187629</v>
      </c>
      <c r="O9">
        <f>O8*0.995</f>
        <v>35.82</v>
      </c>
      <c r="P9">
        <f t="shared" si="4"/>
        <v>16.565179509680238</v>
      </c>
      <c r="R9" s="40" t="s">
        <v>27</v>
      </c>
      <c r="S9">
        <v>0.83399999999999996</v>
      </c>
      <c r="T9" s="45">
        <f t="shared" si="5"/>
        <v>1.5438000000000001</v>
      </c>
      <c r="U9">
        <f t="shared" ref="U9:U37" si="25">IF(EXP(0.893-$C$5+0.76*LN(T9)-0.034*(LN(T9))^2)&gt;8, 8, EXP(0.893-$C$5+0.76*LN(T9)-0.034*(LN(T9))^2))</f>
        <v>2.8777794095050986</v>
      </c>
      <c r="V9">
        <f t="shared" si="6"/>
        <v>0.36918407055421182</v>
      </c>
      <c r="W9">
        <f>W8*0.995</f>
        <v>35.82</v>
      </c>
      <c r="X9">
        <f t="shared" ref="X9:X37" si="26">V9*W9*$F$5</f>
        <v>6.281482368444637</v>
      </c>
      <c r="Z9" s="40" t="s">
        <v>28</v>
      </c>
      <c r="AA9">
        <v>0.83</v>
      </c>
      <c r="AB9" s="46">
        <f t="shared" si="7"/>
        <v>1.7856000000000001</v>
      </c>
      <c r="AC9">
        <f t="shared" ref="AC9:AC37" si="27">IF(EXP(0.893-$C$5+0.76*LN(AB9)-0.034*(LN(AB9))^2)&gt;4, 4, EXP(0.893-$C$5+0.76*LN(AB9)-0.034*(LN(AB9))^2))</f>
        <v>3.1982001408205352</v>
      </c>
      <c r="AD9">
        <f t="shared" si="8"/>
        <v>0.5411353421827092</v>
      </c>
      <c r="AE9">
        <f>AE8*0.995</f>
        <v>35.82</v>
      </c>
      <c r="AF9">
        <f t="shared" si="9"/>
        <v>9.207147279567705</v>
      </c>
      <c r="AH9" s="40" t="s">
        <v>29</v>
      </c>
      <c r="AI9">
        <v>0.67500000000000004</v>
      </c>
      <c r="AJ9" s="45">
        <f>(10.348*LN(A9)-6.693)*0.93</f>
        <v>0.44610893272391233</v>
      </c>
      <c r="AK9">
        <f t="shared" ref="AK9:AK37" si="28">IF(EXP(0.893-$C$5+0.76*LN(AJ9)-0.034*(LN(AJ9))^2)&gt;25, 25, EXP(0.893-$C$5+0.76*LN(AJ9)-0.034*(LN(AJ9))^2))</f>
        <v>1.1027242229265279</v>
      </c>
      <c r="AL9">
        <f t="shared" si="10"/>
        <v>1.0436909796128178E-2</v>
      </c>
      <c r="AM9">
        <f>AM8*0.995</f>
        <v>35.82</v>
      </c>
      <c r="AN9">
        <f t="shared" si="11"/>
        <v>0.1775788017262229</v>
      </c>
      <c r="AP9" s="41" t="s">
        <v>23</v>
      </c>
      <c r="AQ9">
        <v>0.6</v>
      </c>
      <c r="AR9" s="46">
        <f t="shared" si="12"/>
        <v>2.3436000000000003</v>
      </c>
      <c r="AS9">
        <f t="shared" ref="AS9:AS37" si="29">IF(EXP(0.893-$C$5+0.76*LN(AR9)-0.034*(LN(AR9))^2)&gt;22.5, 22.5, EXP(0.893-$C$5+0.76*LN(AR9)-0.034*(LN(AR9))^2))</f>
        <v>3.8807291577701366</v>
      </c>
      <c r="AT9">
        <f t="shared" si="13"/>
        <v>0.80962268725573516</v>
      </c>
      <c r="AU9">
        <f>AU8*0.995</f>
        <v>35.82</v>
      </c>
      <c r="AV9">
        <f t="shared" si="14"/>
        <v>13.775325212312705</v>
      </c>
      <c r="AX9">
        <f>AX8+Calculations!$C$24</f>
        <v>0.41497866666666661</v>
      </c>
      <c r="AY9">
        <f t="shared" si="15"/>
        <v>1.5229717066666664</v>
      </c>
      <c r="AZ9">
        <f t="shared" si="16"/>
        <v>0.21837702032411968</v>
      </c>
      <c r="BA9">
        <f t="shared" si="17"/>
        <v>7.2064416706959497E-2</v>
      </c>
      <c r="BB9">
        <f t="shared" si="18"/>
        <v>0.29044143703107916</v>
      </c>
      <c r="BC9">
        <f t="shared" si="19"/>
        <v>1.8134131436977454</v>
      </c>
      <c r="BE9" s="38" t="s">
        <v>17</v>
      </c>
      <c r="BH9">
        <f t="shared" si="20"/>
        <v>214.92</v>
      </c>
      <c r="BI9">
        <f t="shared" si="21"/>
        <v>1.7948514887873188</v>
      </c>
      <c r="BJ9">
        <f t="shared" si="22"/>
        <v>1.794851488787319</v>
      </c>
    </row>
    <row r="10" spans="1:62">
      <c r="A10" s="39">
        <v>3</v>
      </c>
      <c r="B10" s="40" t="s">
        <v>25</v>
      </c>
      <c r="C10">
        <v>0.54</v>
      </c>
      <c r="D10" s="45">
        <f>(11.291*LN(A10)-8.2599)*0.93</f>
        <v>3.8544141567570138</v>
      </c>
      <c r="E10">
        <f t="shared" si="23"/>
        <v>5.4570908274313821</v>
      </c>
      <c r="F10">
        <f t="shared" si="0"/>
        <v>2.6908918358536993</v>
      </c>
      <c r="G10">
        <f t="shared" ref="G10:G37" si="30">G9*0.995</f>
        <v>35.640900000000002</v>
      </c>
      <c r="H10">
        <f t="shared" si="1"/>
        <v>45.555258245427105</v>
      </c>
      <c r="J10" s="40" t="s">
        <v>26</v>
      </c>
      <c r="K10">
        <v>0.82699999999999996</v>
      </c>
      <c r="L10" s="46">
        <f t="shared" si="2"/>
        <v>3.3479999999999999</v>
      </c>
      <c r="M10">
        <f t="shared" si="24"/>
        <v>4.9635136380079485</v>
      </c>
      <c r="N10">
        <f t="shared" si="3"/>
        <v>2.8246973133015922</v>
      </c>
      <c r="O10">
        <f t="shared" ref="O10:O37" si="31">O9*0.995</f>
        <v>35.640900000000002</v>
      </c>
      <c r="P10">
        <f t="shared" si="4"/>
        <v>47.820508374984094</v>
      </c>
      <c r="R10" s="40" t="s">
        <v>27</v>
      </c>
      <c r="S10">
        <v>0.83399999999999996</v>
      </c>
      <c r="T10" s="45">
        <f t="shared" si="5"/>
        <v>2.3157000000000001</v>
      </c>
      <c r="U10">
        <f t="shared" si="25"/>
        <v>3.8482168306610349</v>
      </c>
      <c r="V10">
        <f t="shared" si="6"/>
        <v>1.0817982551473855</v>
      </c>
      <c r="W10">
        <f t="shared" ref="W10:W37" si="32">W9*0.995</f>
        <v>35.640900000000002</v>
      </c>
      <c r="X10">
        <f t="shared" si="26"/>
        <v>18.314225130144166</v>
      </c>
      <c r="Z10" s="40" t="s">
        <v>28</v>
      </c>
      <c r="AA10">
        <v>0.83</v>
      </c>
      <c r="AB10" s="46">
        <f t="shared" si="7"/>
        <v>2.6783999999999999</v>
      </c>
      <c r="AC10">
        <f t="shared" si="27"/>
        <v>4</v>
      </c>
      <c r="AD10">
        <f t="shared" si="8"/>
        <v>1.4854522146834015</v>
      </c>
      <c r="AE10">
        <f t="shared" ref="AE10:AE37" si="33">AE9*0.995</f>
        <v>35.640900000000002</v>
      </c>
      <c r="AF10">
        <f t="shared" si="9"/>
        <v>25.147855573197081</v>
      </c>
      <c r="AH10" s="40" t="s">
        <v>29</v>
      </c>
      <c r="AI10">
        <v>0.67500000000000004</v>
      </c>
      <c r="AJ10" s="45">
        <f t="shared" ref="AJ10:AJ37" si="34">(10.348*LN(A10)-6.693)*0.93</f>
        <v>4.348159165717969</v>
      </c>
      <c r="AK10">
        <f t="shared" si="28"/>
        <v>5.9119089797493611</v>
      </c>
      <c r="AL10">
        <f t="shared" si="10"/>
        <v>4.5771381984028379</v>
      </c>
      <c r="AM10">
        <f t="shared" ref="AM10:AM37" si="35">AM9*0.995</f>
        <v>35.640900000000002</v>
      </c>
      <c r="AN10">
        <f t="shared" si="11"/>
        <v>77.488329287341458</v>
      </c>
      <c r="AP10" s="41" t="s">
        <v>23</v>
      </c>
      <c r="AQ10">
        <v>0.6</v>
      </c>
      <c r="AR10" s="46">
        <f t="shared" si="12"/>
        <v>3.5154000000000005</v>
      </c>
      <c r="AS10">
        <f t="shared" si="29"/>
        <v>5.1299937920731127</v>
      </c>
      <c r="AT10">
        <f t="shared" si="13"/>
        <v>2.3458888381534253</v>
      </c>
      <c r="AU10">
        <f t="shared" ref="AU10:AU37" si="36">AU9*0.995</f>
        <v>35.640900000000002</v>
      </c>
      <c r="AV10">
        <f t="shared" si="14"/>
        <v>39.714555008577648</v>
      </c>
      <c r="AX10">
        <f>AX9+Calculations!$C$24</f>
        <v>0.62246799999999991</v>
      </c>
      <c r="AY10">
        <f t="shared" si="15"/>
        <v>2.2844575599999994</v>
      </c>
      <c r="AZ10">
        <f t="shared" si="16"/>
        <v>0.93232948504419444</v>
      </c>
      <c r="BA10">
        <f t="shared" si="17"/>
        <v>0.30766873006458417</v>
      </c>
      <c r="BB10">
        <f t="shared" si="18"/>
        <v>1.2399982151087787</v>
      </c>
      <c r="BC10">
        <f t="shared" si="19"/>
        <v>3.5244557751087782</v>
      </c>
      <c r="BE10">
        <f>BC37*BE7</f>
        <v>1983.6925878285585</v>
      </c>
      <c r="BH10">
        <f t="shared" si="20"/>
        <v>213.84539999999998</v>
      </c>
      <c r="BI10">
        <f t="shared" si="21"/>
        <v>3.3433455537458303</v>
      </c>
      <c r="BJ10">
        <f t="shared" si="22"/>
        <v>3.3433455537458308</v>
      </c>
    </row>
    <row r="11" spans="1:62">
      <c r="A11" s="39">
        <v>4</v>
      </c>
      <c r="B11" s="40" t="s">
        <v>25</v>
      </c>
      <c r="C11">
        <v>0.54</v>
      </c>
      <c r="D11" s="45">
        <f t="shared" ref="D11:D37" si="37">(11.291*LN(A11)-8.2599)*0.93</f>
        <v>6.8752571572063577</v>
      </c>
      <c r="E11">
        <f t="shared" si="23"/>
        <v>7.9427044024510023</v>
      </c>
      <c r="F11">
        <f t="shared" si="0"/>
        <v>12.011259682915471</v>
      </c>
      <c r="G11">
        <f t="shared" si="30"/>
        <v>35.462695500000002</v>
      </c>
      <c r="H11">
        <f t="shared" si="1"/>
        <v>202.3270312356625</v>
      </c>
      <c r="J11" s="40" t="s">
        <v>26</v>
      </c>
      <c r="K11">
        <v>0.82699999999999996</v>
      </c>
      <c r="L11" s="46">
        <f t="shared" si="2"/>
        <v>4.4640000000000004</v>
      </c>
      <c r="M11">
        <f t="shared" si="24"/>
        <v>6.0152621208069359</v>
      </c>
      <c r="N11">
        <f t="shared" si="3"/>
        <v>5.974677940426421</v>
      </c>
      <c r="O11">
        <f t="shared" si="31"/>
        <v>35.462695500000002</v>
      </c>
      <c r="P11">
        <f t="shared" si="4"/>
        <v>100.64213764315693</v>
      </c>
      <c r="R11" s="40" t="s">
        <v>27</v>
      </c>
      <c r="S11">
        <v>0.83399999999999996</v>
      </c>
      <c r="T11" s="45">
        <f t="shared" si="5"/>
        <v>3.0876000000000001</v>
      </c>
      <c r="U11">
        <f t="shared" si="25"/>
        <v>4.6973927262812403</v>
      </c>
      <c r="V11">
        <f t="shared" si="6"/>
        <v>2.3043353947381657</v>
      </c>
      <c r="W11">
        <f t="shared" si="32"/>
        <v>35.462695500000002</v>
      </c>
      <c r="X11">
        <f t="shared" si="26"/>
        <v>38.81602360589914</v>
      </c>
      <c r="Z11" s="40" t="s">
        <v>28</v>
      </c>
      <c r="AA11">
        <v>0.83</v>
      </c>
      <c r="AB11" s="46">
        <f t="shared" si="7"/>
        <v>3.5712000000000002</v>
      </c>
      <c r="AC11">
        <f t="shared" si="27"/>
        <v>4</v>
      </c>
      <c r="AD11">
        <f t="shared" si="8"/>
        <v>2.6045883846665623</v>
      </c>
      <c r="AE11">
        <f t="shared" si="33"/>
        <v>35.462695500000002</v>
      </c>
      <c r="AF11">
        <f t="shared" si="9"/>
        <v>43.873719274426904</v>
      </c>
      <c r="AH11" s="40" t="s">
        <v>29</v>
      </c>
      <c r="AI11">
        <v>0.67500000000000004</v>
      </c>
      <c r="AJ11" s="45">
        <f t="shared" si="34"/>
        <v>7.1167078654478244</v>
      </c>
      <c r="AK11">
        <f t="shared" si="28"/>
        <v>8.1166749187898439</v>
      </c>
      <c r="AL11">
        <f t="shared" si="10"/>
        <v>16.316142969166702</v>
      </c>
      <c r="AM11">
        <f t="shared" si="35"/>
        <v>35.462695500000002</v>
      </c>
      <c r="AN11">
        <f t="shared" si="11"/>
        <v>274.84184467876173</v>
      </c>
      <c r="AP11" s="41" t="s">
        <v>23</v>
      </c>
      <c r="AQ11">
        <v>0.6</v>
      </c>
      <c r="AR11" s="46">
        <f t="shared" si="12"/>
        <v>4.6872000000000007</v>
      </c>
      <c r="AS11">
        <f t="shared" si="29"/>
        <v>6.2110877330810332</v>
      </c>
      <c r="AT11">
        <f t="shared" si="13"/>
        <v>4.9573028007852082</v>
      </c>
      <c r="AU11">
        <f t="shared" si="36"/>
        <v>35.462695500000002</v>
      </c>
      <c r="AV11">
        <f t="shared" si="14"/>
        <v>83.504676869632917</v>
      </c>
      <c r="AX11">
        <f>AX10+Calculations!$C$24</f>
        <v>0.82995733333333321</v>
      </c>
      <c r="AY11">
        <f t="shared" si="15"/>
        <v>3.0459434133333327</v>
      </c>
      <c r="AZ11">
        <f t="shared" si="16"/>
        <v>2.7304999402386723</v>
      </c>
      <c r="BA11">
        <f t="shared" si="17"/>
        <v>0.90106498027876192</v>
      </c>
      <c r="BB11">
        <f t="shared" si="18"/>
        <v>3.6315649205174343</v>
      </c>
      <c r="BC11">
        <f t="shared" si="19"/>
        <v>6.677508333850767</v>
      </c>
      <c r="BH11">
        <f t="shared" si="20"/>
        <v>212.776173</v>
      </c>
      <c r="BI11">
        <f t="shared" si="21"/>
        <v>4.9669941704423639</v>
      </c>
      <c r="BJ11">
        <f t="shared" si="22"/>
        <v>4.9669941704423639</v>
      </c>
    </row>
    <row r="12" spans="1:62" ht="19">
      <c r="A12" s="39">
        <v>5</v>
      </c>
      <c r="B12" s="40" t="s">
        <v>25</v>
      </c>
      <c r="C12">
        <v>0.54</v>
      </c>
      <c r="D12" s="45">
        <f t="shared" si="37"/>
        <v>9.2184050264428876</v>
      </c>
      <c r="E12">
        <f t="shared" si="23"/>
        <v>9.5235638851318285</v>
      </c>
      <c r="F12">
        <f t="shared" si="0"/>
        <v>25.418374783839084</v>
      </c>
      <c r="G12">
        <f t="shared" si="30"/>
        <v>35.285382022500002</v>
      </c>
      <c r="H12">
        <f t="shared" si="1"/>
        <v>426.02610570345036</v>
      </c>
      <c r="J12" s="40" t="s">
        <v>26</v>
      </c>
      <c r="K12">
        <v>0.82699999999999996</v>
      </c>
      <c r="L12" s="46">
        <f t="shared" si="2"/>
        <v>5.58</v>
      </c>
      <c r="M12">
        <f t="shared" si="24"/>
        <v>6.9552406681794228</v>
      </c>
      <c r="N12">
        <f t="shared" si="3"/>
        <v>10.642093449791805</v>
      </c>
      <c r="O12">
        <f t="shared" si="31"/>
        <v>35.285382022500002</v>
      </c>
      <c r="P12">
        <f t="shared" si="4"/>
        <v>178.36740812514816</v>
      </c>
      <c r="R12" s="40" t="s">
        <v>27</v>
      </c>
      <c r="S12">
        <v>0.83399999999999996</v>
      </c>
      <c r="T12" s="45">
        <f t="shared" si="5"/>
        <v>3.8594999999999997</v>
      </c>
      <c r="U12">
        <f t="shared" si="25"/>
        <v>5.4619012430671399</v>
      </c>
      <c r="V12">
        <f t="shared" si="6"/>
        <v>4.126951082506908</v>
      </c>
      <c r="W12">
        <f t="shared" si="32"/>
        <v>35.285382022500002</v>
      </c>
      <c r="X12">
        <f t="shared" si="26"/>
        <v>69.169996628852431</v>
      </c>
      <c r="Z12" s="40" t="s">
        <v>28</v>
      </c>
      <c r="AA12">
        <v>0.83</v>
      </c>
      <c r="AB12" s="46">
        <f t="shared" si="7"/>
        <v>4.4640000000000004</v>
      </c>
      <c r="AC12">
        <f t="shared" si="27"/>
        <v>4</v>
      </c>
      <c r="AD12">
        <f t="shared" si="8"/>
        <v>4.0263121798624137</v>
      </c>
      <c r="AE12">
        <f t="shared" si="33"/>
        <v>35.285382022500002</v>
      </c>
      <c r="AF12">
        <f t="shared" si="9"/>
        <v>67.483232618937762</v>
      </c>
      <c r="AH12" s="40" t="s">
        <v>29</v>
      </c>
      <c r="AI12">
        <v>0.67500000000000004</v>
      </c>
      <c r="AJ12" s="45">
        <f t="shared" si="34"/>
        <v>9.2641610716173055</v>
      </c>
      <c r="AK12">
        <f t="shared" si="28"/>
        <v>9.5523139450916581</v>
      </c>
      <c r="AL12">
        <f t="shared" si="10"/>
        <v>32.004203989489582</v>
      </c>
      <c r="AM12">
        <f t="shared" si="35"/>
        <v>35.285382022500002</v>
      </c>
      <c r="AN12">
        <f t="shared" si="11"/>
        <v>536.40826794520024</v>
      </c>
      <c r="AP12" s="41" t="s">
        <v>23</v>
      </c>
      <c r="AQ12">
        <v>0.6</v>
      </c>
      <c r="AR12" s="46">
        <f t="shared" si="12"/>
        <v>5.859</v>
      </c>
      <c r="AS12">
        <f t="shared" si="29"/>
        <v>7.1763522491054488</v>
      </c>
      <c r="AT12">
        <f t="shared" si="13"/>
        <v>8.8235674625905443</v>
      </c>
      <c r="AU12">
        <f t="shared" si="36"/>
        <v>35.285382022500002</v>
      </c>
      <c r="AV12">
        <f t="shared" si="14"/>
        <v>147.88790064143396</v>
      </c>
      <c r="AX12">
        <f>AX11+Calculations!$C$24</f>
        <v>1.0374466666666664</v>
      </c>
      <c r="AY12">
        <f t="shared" si="15"/>
        <v>3.8074292666666656</v>
      </c>
      <c r="AZ12">
        <f t="shared" si="16"/>
        <v>5.2310084858032955</v>
      </c>
      <c r="BA12">
        <f t="shared" si="17"/>
        <v>1.7262328003150875</v>
      </c>
      <c r="BB12">
        <f t="shared" si="18"/>
        <v>6.957241286118383</v>
      </c>
      <c r="BC12">
        <f t="shared" si="19"/>
        <v>10.764670552785049</v>
      </c>
      <c r="BE12" s="38" t="s">
        <v>30</v>
      </c>
      <c r="BF12" s="1" t="s">
        <v>32</v>
      </c>
      <c r="BH12">
        <f t="shared" si="20"/>
        <v>211.71229213500004</v>
      </c>
      <c r="BI12" s="30">
        <f>AVERAGE(D12,L12,T12,AB12,AJ12,AR12)</f>
        <v>6.374177683010033</v>
      </c>
      <c r="BJ12" s="30">
        <f t="shared" si="22"/>
        <v>6.374177683010033</v>
      </c>
    </row>
    <row r="13" spans="1:62">
      <c r="A13" s="39">
        <v>6</v>
      </c>
      <c r="B13" s="40" t="s">
        <v>25</v>
      </c>
      <c r="C13">
        <v>0.54</v>
      </c>
      <c r="D13" s="45">
        <f t="shared" si="37"/>
        <v>11.132896235360191</v>
      </c>
      <c r="E13">
        <f t="shared" si="23"/>
        <v>10.670365087171863</v>
      </c>
      <c r="F13">
        <f t="shared" si="0"/>
        <v>41.050030195956417</v>
      </c>
      <c r="G13">
        <f t="shared" si="30"/>
        <v>35.108955112387505</v>
      </c>
      <c r="H13">
        <f t="shared" si="1"/>
        <v>684.58124206819309</v>
      </c>
      <c r="J13" s="40" t="s">
        <v>26</v>
      </c>
      <c r="K13">
        <v>0.82699999999999996</v>
      </c>
      <c r="L13" s="46">
        <f t="shared" si="2"/>
        <v>6.6959999999999997</v>
      </c>
      <c r="M13">
        <f t="shared" si="24"/>
        <v>7.8116432153777851</v>
      </c>
      <c r="N13">
        <f t="shared" si="3"/>
        <v>17.014091807703629</v>
      </c>
      <c r="O13">
        <f t="shared" si="31"/>
        <v>35.108955112387505</v>
      </c>
      <c r="P13">
        <f t="shared" si="4"/>
        <v>283.7398181384857</v>
      </c>
      <c r="R13" s="40" t="s">
        <v>27</v>
      </c>
      <c r="S13">
        <v>0.83399999999999996</v>
      </c>
      <c r="T13" s="45">
        <f t="shared" si="5"/>
        <v>4.6314000000000002</v>
      </c>
      <c r="U13">
        <f t="shared" si="25"/>
        <v>6.1625295944488379</v>
      </c>
      <c r="V13">
        <f t="shared" si="6"/>
        <v>6.6274784427254652</v>
      </c>
      <c r="W13">
        <f t="shared" si="32"/>
        <v>35.108955112387505</v>
      </c>
      <c r="X13">
        <f t="shared" si="26"/>
        <v>110.524825498133</v>
      </c>
      <c r="Z13" s="40" t="s">
        <v>28</v>
      </c>
      <c r="AA13">
        <v>0.83</v>
      </c>
      <c r="AB13" s="46">
        <f t="shared" si="7"/>
        <v>5.3567999999999998</v>
      </c>
      <c r="AC13">
        <f t="shared" si="27"/>
        <v>4</v>
      </c>
      <c r="AD13">
        <f t="shared" si="8"/>
        <v>5.7473710641433851</v>
      </c>
      <c r="AE13">
        <f t="shared" si="33"/>
        <v>35.108955112387505</v>
      </c>
      <c r="AF13">
        <f t="shared" si="9"/>
        <v>95.847491534991335</v>
      </c>
      <c r="AH13" s="40" t="s">
        <v>29</v>
      </c>
      <c r="AI13">
        <v>0.67500000000000004</v>
      </c>
      <c r="AJ13" s="45">
        <f t="shared" si="34"/>
        <v>11.01875809844188</v>
      </c>
      <c r="AK13">
        <f t="shared" si="28"/>
        <v>10.604977206399607</v>
      </c>
      <c r="AL13">
        <f t="shared" si="10"/>
        <v>49.722846479612748</v>
      </c>
      <c r="AM13">
        <f t="shared" si="35"/>
        <v>35.108955112387505</v>
      </c>
      <c r="AN13">
        <f t="shared" si="11"/>
        <v>829.21566292860803</v>
      </c>
      <c r="AP13" s="41" t="s">
        <v>23</v>
      </c>
      <c r="AQ13">
        <v>0.6</v>
      </c>
      <c r="AR13" s="46">
        <f t="shared" si="12"/>
        <v>7.030800000000001</v>
      </c>
      <c r="AS13">
        <f t="shared" si="29"/>
        <v>8.0551064261214442</v>
      </c>
      <c r="AT13">
        <f t="shared" si="13"/>
        <v>14.098389897387355</v>
      </c>
      <c r="AU13">
        <f t="shared" si="36"/>
        <v>35.108955112387505</v>
      </c>
      <c r="AV13">
        <f t="shared" si="14"/>
        <v>235.11537558054729</v>
      </c>
      <c r="AX13">
        <f>AX12+Calculations!$C$24</f>
        <v>1.2449359999999996</v>
      </c>
      <c r="AY13">
        <f t="shared" si="15"/>
        <v>4.568915119999998</v>
      </c>
      <c r="AZ13">
        <f t="shared" si="16"/>
        <v>8.2172196057986771</v>
      </c>
      <c r="BA13">
        <f t="shared" si="17"/>
        <v>2.7116824699135638</v>
      </c>
      <c r="BB13">
        <f t="shared" si="18"/>
        <v>10.928902075712241</v>
      </c>
      <c r="BC13">
        <f t="shared" si="19"/>
        <v>15.497817195712239</v>
      </c>
      <c r="BE13">
        <f>BE10*0.2</f>
        <v>396.73851756571173</v>
      </c>
      <c r="BF13">
        <f>BE13/BE7</f>
        <v>40.607831890042142</v>
      </c>
      <c r="BH13">
        <f t="shared" si="20"/>
        <v>210.653730674325</v>
      </c>
      <c r="BI13">
        <f t="shared" si="21"/>
        <v>7.6444423889670112</v>
      </c>
      <c r="BJ13">
        <f t="shared" si="22"/>
        <v>7.6444423889670139</v>
      </c>
    </row>
    <row r="14" spans="1:62">
      <c r="A14" s="39">
        <v>7</v>
      </c>
      <c r="B14" s="40" t="s">
        <v>25</v>
      </c>
      <c r="C14">
        <v>0.54</v>
      </c>
      <c r="D14" s="45">
        <f t="shared" si="37"/>
        <v>12.751575488474696</v>
      </c>
      <c r="E14">
        <f t="shared" si="23"/>
        <v>11.562512481686449</v>
      </c>
      <c r="F14">
        <f t="shared" si="0"/>
        <v>57.866999369634541</v>
      </c>
      <c r="G14">
        <f t="shared" si="30"/>
        <v>34.933410336825567</v>
      </c>
      <c r="H14">
        <f t="shared" si="1"/>
        <v>960.2085261216281</v>
      </c>
      <c r="J14" s="40" t="s">
        <v>26</v>
      </c>
      <c r="K14">
        <v>0.82699999999999996</v>
      </c>
      <c r="L14" s="46">
        <f t="shared" si="2"/>
        <v>7.8120000000000012</v>
      </c>
      <c r="M14">
        <f t="shared" si="24"/>
        <v>8.6023019416486282</v>
      </c>
      <c r="N14">
        <f t="shared" si="3"/>
        <v>25.255516425678607</v>
      </c>
      <c r="O14">
        <f t="shared" si="31"/>
        <v>34.933410336825567</v>
      </c>
      <c r="P14">
        <f t="shared" si="4"/>
        <v>419.0741263191677</v>
      </c>
      <c r="R14" s="40" t="s">
        <v>27</v>
      </c>
      <c r="S14">
        <v>0.83399999999999996</v>
      </c>
      <c r="T14" s="45">
        <f t="shared" si="5"/>
        <v>5.4032999999999998</v>
      </c>
      <c r="U14">
        <f t="shared" si="25"/>
        <v>6.812547470628509</v>
      </c>
      <c r="V14">
        <f t="shared" si="6"/>
        <v>9.8749241431592978</v>
      </c>
      <c r="W14">
        <f t="shared" si="32"/>
        <v>34.933410336825567</v>
      </c>
      <c r="X14">
        <f t="shared" si="26"/>
        <v>163.85826914055446</v>
      </c>
      <c r="Z14" s="40" t="s">
        <v>28</v>
      </c>
      <c r="AA14">
        <v>0.83</v>
      </c>
      <c r="AB14" s="46">
        <f t="shared" si="7"/>
        <v>6.2496</v>
      </c>
      <c r="AC14">
        <f t="shared" si="27"/>
        <v>4</v>
      </c>
      <c r="AD14">
        <f t="shared" si="8"/>
        <v>7.7651414364523097</v>
      </c>
      <c r="AE14">
        <f t="shared" si="33"/>
        <v>34.933410336825567</v>
      </c>
      <c r="AF14">
        <f t="shared" si="9"/>
        <v>128.84986425846091</v>
      </c>
      <c r="AH14" s="40" t="s">
        <v>29</v>
      </c>
      <c r="AI14">
        <v>0.67500000000000004</v>
      </c>
      <c r="AJ14" s="45">
        <f t="shared" si="34"/>
        <v>12.502248746854677</v>
      </c>
      <c r="AK14">
        <f t="shared" si="28"/>
        <v>11.429136279865288</v>
      </c>
      <c r="AL14">
        <f t="shared" si="10"/>
        <v>68.447482005353919</v>
      </c>
      <c r="AM14">
        <f t="shared" si="35"/>
        <v>34.933410336825567</v>
      </c>
      <c r="AN14">
        <f t="shared" si="11"/>
        <v>1135.7743883223684</v>
      </c>
      <c r="AP14" s="41" t="s">
        <v>23</v>
      </c>
      <c r="AQ14">
        <v>0.6</v>
      </c>
      <c r="AR14" s="46">
        <f t="shared" si="12"/>
        <v>8.2026000000000003</v>
      </c>
      <c r="AS14">
        <f t="shared" si="29"/>
        <v>8.865871945685015</v>
      </c>
      <c r="AT14">
        <f t="shared" si="13"/>
        <v>20.91703955723613</v>
      </c>
      <c r="AU14">
        <f t="shared" si="36"/>
        <v>34.933410336825567</v>
      </c>
      <c r="AV14">
        <f t="shared" si="14"/>
        <v>347.08417479515742</v>
      </c>
      <c r="AX14">
        <f>AX13+Calculations!$C$24</f>
        <v>1.4524253333333328</v>
      </c>
      <c r="AY14">
        <f t="shared" si="15"/>
        <v>5.3304009733333313</v>
      </c>
      <c r="AZ14">
        <f t="shared" si="16"/>
        <v>11.578297110673425</v>
      </c>
      <c r="BA14">
        <f t="shared" si="17"/>
        <v>3.8208380465222307</v>
      </c>
      <c r="BB14">
        <f t="shared" si="18"/>
        <v>15.399135157195655</v>
      </c>
      <c r="BC14">
        <f t="shared" si="19"/>
        <v>20.729536130528984</v>
      </c>
      <c r="BH14">
        <f t="shared" si="20"/>
        <v>209.60046202095342</v>
      </c>
      <c r="BI14" s="30">
        <f t="shared" si="21"/>
        <v>8.8202207058882305</v>
      </c>
      <c r="BJ14" s="30">
        <f t="shared" si="22"/>
        <v>8.8202207058882287</v>
      </c>
    </row>
    <row r="15" spans="1:62" ht="19">
      <c r="A15" s="39">
        <v>8</v>
      </c>
      <c r="B15" s="40" t="s">
        <v>25</v>
      </c>
      <c r="C15">
        <v>0.54</v>
      </c>
      <c r="D15" s="45">
        <f t="shared" si="37"/>
        <v>14.153739235809537</v>
      </c>
      <c r="E15">
        <f t="shared" si="23"/>
        <v>12.288027753266014</v>
      </c>
      <c r="F15">
        <f t="shared" si="0"/>
        <v>75.277735798657091</v>
      </c>
      <c r="G15">
        <f t="shared" si="30"/>
        <v>34.758743285141442</v>
      </c>
      <c r="H15">
        <f t="shared" si="1"/>
        <v>1242.8657595133061</v>
      </c>
      <c r="J15" s="40" t="s">
        <v>26</v>
      </c>
      <c r="K15">
        <v>0.82699999999999996</v>
      </c>
      <c r="L15" s="46">
        <f t="shared" si="2"/>
        <v>8.9280000000000008</v>
      </c>
      <c r="M15">
        <f t="shared" si="24"/>
        <v>9.3393977838929576</v>
      </c>
      <c r="N15">
        <f t="shared" si="3"/>
        <v>35.514346231400978</v>
      </c>
      <c r="O15">
        <f t="shared" si="31"/>
        <v>34.758743285141442</v>
      </c>
      <c r="P15">
        <f t="shared" si="4"/>
        <v>586.35617070852607</v>
      </c>
      <c r="R15" s="40" t="s">
        <v>27</v>
      </c>
      <c r="S15">
        <v>0.83399999999999996</v>
      </c>
      <c r="T15" s="45">
        <f t="shared" si="5"/>
        <v>6.1752000000000002</v>
      </c>
      <c r="U15">
        <f t="shared" si="25"/>
        <v>7.4210864484113799</v>
      </c>
      <c r="V15">
        <f t="shared" si="6"/>
        <v>13.931574672864103</v>
      </c>
      <c r="W15">
        <f t="shared" si="32"/>
        <v>34.758743285141442</v>
      </c>
      <c r="X15">
        <f t="shared" si="26"/>
        <v>230.01591311563431</v>
      </c>
      <c r="Z15" s="40" t="s">
        <v>28</v>
      </c>
      <c r="AA15">
        <v>0.83</v>
      </c>
      <c r="AB15" s="46">
        <f t="shared" si="7"/>
        <v>7.1424000000000003</v>
      </c>
      <c r="AC15">
        <f t="shared" si="27"/>
        <v>4</v>
      </c>
      <c r="AD15">
        <f t="shared" si="8"/>
        <v>10.077426771501409</v>
      </c>
      <c r="AE15">
        <f t="shared" si="33"/>
        <v>34.758743285141442</v>
      </c>
      <c r="AF15">
        <f t="shared" si="9"/>
        <v>166.38237780957886</v>
      </c>
      <c r="AH15" s="40" t="s">
        <v>29</v>
      </c>
      <c r="AI15">
        <v>0.67500000000000004</v>
      </c>
      <c r="AJ15" s="45">
        <f t="shared" si="34"/>
        <v>13.787306798171738</v>
      </c>
      <c r="AK15">
        <f t="shared" si="28"/>
        <v>12.102276493370498</v>
      </c>
      <c r="AL15">
        <f t="shared" si="10"/>
        <v>87.61080562375632</v>
      </c>
      <c r="AM15">
        <f t="shared" si="35"/>
        <v>34.758743285141442</v>
      </c>
      <c r="AN15">
        <f t="shared" si="11"/>
        <v>1446.4897132982717</v>
      </c>
      <c r="AP15" s="41" t="s">
        <v>23</v>
      </c>
      <c r="AQ15">
        <v>0.6</v>
      </c>
      <c r="AR15" s="46">
        <f t="shared" si="12"/>
        <v>9.3744000000000014</v>
      </c>
      <c r="AS15">
        <f t="shared" si="29"/>
        <v>9.6212886368425536</v>
      </c>
      <c r="AT15">
        <f t="shared" si="13"/>
        <v>29.400858004574712</v>
      </c>
      <c r="AU15">
        <f t="shared" si="36"/>
        <v>34.758743285141442</v>
      </c>
      <c r="AV15">
        <f t="shared" si="14"/>
        <v>485.42001597835639</v>
      </c>
      <c r="AX15">
        <f>AX14+Calculations!$C$24</f>
        <v>1.659914666666666</v>
      </c>
      <c r="AY15">
        <f t="shared" si="15"/>
        <v>6.0918868266666637</v>
      </c>
      <c r="AZ15">
        <f t="shared" si="16"/>
        <v>15.258134918054882</v>
      </c>
      <c r="BA15">
        <f t="shared" si="17"/>
        <v>5.0351845229581116</v>
      </c>
      <c r="BB15">
        <f t="shared" si="18"/>
        <v>20.293319441012994</v>
      </c>
      <c r="BC15">
        <f t="shared" si="19"/>
        <v>26.385206267679656</v>
      </c>
      <c r="BE15" s="38" t="s">
        <v>18</v>
      </c>
      <c r="BF15" t="s">
        <v>103</v>
      </c>
      <c r="BH15">
        <f t="shared" si="20"/>
        <v>208.55245971084864</v>
      </c>
      <c r="BI15">
        <f t="shared" si="21"/>
        <v>9.9268410056635457</v>
      </c>
      <c r="BJ15">
        <f t="shared" si="22"/>
        <v>9.9268410056635457</v>
      </c>
    </row>
    <row r="16" spans="1:62">
      <c r="A16" s="39">
        <v>9</v>
      </c>
      <c r="B16" s="40" t="s">
        <v>25</v>
      </c>
      <c r="C16">
        <v>0.54</v>
      </c>
      <c r="D16" s="45">
        <f t="shared" si="37"/>
        <v>15.390535313514029</v>
      </c>
      <c r="E16">
        <f t="shared" si="23"/>
        <v>12.896539756295356</v>
      </c>
      <c r="F16">
        <f t="shared" si="0"/>
        <v>92.93354222025124</v>
      </c>
      <c r="G16">
        <f t="shared" si="30"/>
        <v>34.584949568715736</v>
      </c>
      <c r="H16">
        <f t="shared" si="1"/>
        <v>1526.6983886915141</v>
      </c>
      <c r="J16" s="40" t="s">
        <v>26</v>
      </c>
      <c r="K16">
        <v>0.82699999999999996</v>
      </c>
      <c r="L16" s="46">
        <f t="shared" si="2"/>
        <v>10.043999999999999</v>
      </c>
      <c r="M16">
        <f t="shared" si="24"/>
        <v>10</v>
      </c>
      <c r="N16">
        <f t="shared" si="3"/>
        <v>47.777379721001829</v>
      </c>
      <c r="O16">
        <f t="shared" si="31"/>
        <v>34.584949568715736</v>
      </c>
      <c r="P16">
        <f t="shared" si="4"/>
        <v>784.87967738370935</v>
      </c>
      <c r="R16" s="40" t="s">
        <v>27</v>
      </c>
      <c r="S16">
        <v>0.83399999999999996</v>
      </c>
      <c r="T16" s="45">
        <f t="shared" si="5"/>
        <v>6.9470999999999998</v>
      </c>
      <c r="U16">
        <f t="shared" si="25"/>
        <v>7.9947712547369969</v>
      </c>
      <c r="V16">
        <f t="shared" si="6"/>
        <v>18.85438440356593</v>
      </c>
      <c r="W16">
        <f t="shared" si="32"/>
        <v>34.584949568715736</v>
      </c>
      <c r="X16">
        <f t="shared" si="26"/>
        <v>309.73701852959141</v>
      </c>
      <c r="Z16" s="40" t="s">
        <v>28</v>
      </c>
      <c r="AA16">
        <v>0.83</v>
      </c>
      <c r="AB16" s="46">
        <f t="shared" si="7"/>
        <v>8.0352000000000015</v>
      </c>
      <c r="AC16">
        <f t="shared" si="27"/>
        <v>4</v>
      </c>
      <c r="AD16">
        <f t="shared" si="8"/>
        <v>12.68233949879243</v>
      </c>
      <c r="AE16">
        <f t="shared" si="33"/>
        <v>34.584949568715736</v>
      </c>
      <c r="AF16">
        <f t="shared" si="9"/>
        <v>208.34358419005719</v>
      </c>
      <c r="AH16" s="40" t="s">
        <v>29</v>
      </c>
      <c r="AI16">
        <v>0.67500000000000004</v>
      </c>
      <c r="AJ16" s="45">
        <f t="shared" si="34"/>
        <v>14.920808331435939</v>
      </c>
      <c r="AK16">
        <f t="shared" si="28"/>
        <v>12.668662753203611</v>
      </c>
      <c r="AL16">
        <f t="shared" si="10"/>
        <v>106.88664693160936</v>
      </c>
      <c r="AM16">
        <f t="shared" si="35"/>
        <v>34.584949568715736</v>
      </c>
      <c r="AN16">
        <f t="shared" si="11"/>
        <v>1755.9179145069461</v>
      </c>
      <c r="AP16" s="41" t="s">
        <v>23</v>
      </c>
      <c r="AQ16">
        <v>0.6</v>
      </c>
      <c r="AR16" s="46">
        <f t="shared" si="12"/>
        <v>10.546200000000001</v>
      </c>
      <c r="AS16">
        <f t="shared" si="29"/>
        <v>10.330462825702858</v>
      </c>
      <c r="AT16">
        <f t="shared" si="13"/>
        <v>39.660207967491807</v>
      </c>
      <c r="AU16">
        <f t="shared" si="36"/>
        <v>34.584949568715736</v>
      </c>
      <c r="AV16">
        <f t="shared" si="14"/>
        <v>651.53198890922897</v>
      </c>
      <c r="AX16">
        <f>AX15+Calculations!$C$24</f>
        <v>1.8674039999999992</v>
      </c>
      <c r="AY16">
        <f t="shared" si="15"/>
        <v>6.853372679999997</v>
      </c>
      <c r="AZ16">
        <f t="shared" si="16"/>
        <v>19.220188460014537</v>
      </c>
      <c r="BA16">
        <f t="shared" si="17"/>
        <v>6.3426621918047976</v>
      </c>
      <c r="BB16">
        <f t="shared" si="18"/>
        <v>25.562850651819335</v>
      </c>
      <c r="BC16">
        <f t="shared" si="19"/>
        <v>32.416223331819332</v>
      </c>
      <c r="BE16">
        <f>BE10-BE13</f>
        <v>1586.9540702628469</v>
      </c>
      <c r="BF16">
        <f>BE16/BE7</f>
        <v>162.43132756016857</v>
      </c>
      <c r="BH16">
        <f t="shared" si="20"/>
        <v>207.5096974122944</v>
      </c>
      <c r="BI16" s="30">
        <f t="shared" si="21"/>
        <v>10.98064060749166</v>
      </c>
      <c r="BJ16" s="30">
        <f t="shared" si="22"/>
        <v>10.980640607491665</v>
      </c>
    </row>
    <row r="17" spans="1:62">
      <c r="A17" s="39">
        <v>10</v>
      </c>
      <c r="B17" s="40" t="s">
        <v>25</v>
      </c>
      <c r="C17">
        <v>0.54</v>
      </c>
      <c r="D17" s="45">
        <f t="shared" si="37"/>
        <v>16.496887105046067</v>
      </c>
      <c r="E17">
        <f t="shared" si="23"/>
        <v>13.418696019758984</v>
      </c>
      <c r="F17">
        <f t="shared" si="0"/>
        <v>110.62297900984979</v>
      </c>
      <c r="G17">
        <f t="shared" si="30"/>
        <v>34.412024820872155</v>
      </c>
      <c r="H17">
        <f t="shared" si="1"/>
        <v>1808.2113322367406</v>
      </c>
      <c r="J17" s="40" t="s">
        <v>26</v>
      </c>
      <c r="K17">
        <v>0.82699999999999996</v>
      </c>
      <c r="L17" s="46">
        <f t="shared" si="2"/>
        <v>11.16</v>
      </c>
      <c r="M17">
        <f t="shared" si="24"/>
        <v>10</v>
      </c>
      <c r="N17">
        <f t="shared" si="3"/>
        <v>58.686870256654473</v>
      </c>
      <c r="O17">
        <f t="shared" si="31"/>
        <v>34.412024820872155</v>
      </c>
      <c r="P17">
        <f t="shared" si="4"/>
        <v>959.2786670673662</v>
      </c>
      <c r="R17" s="40" t="s">
        <v>27</v>
      </c>
      <c r="S17">
        <v>0.83399999999999996</v>
      </c>
      <c r="T17" s="45">
        <f t="shared" si="5"/>
        <v>7.7189999999999994</v>
      </c>
      <c r="U17">
        <f t="shared" si="25"/>
        <v>8</v>
      </c>
      <c r="V17">
        <f t="shared" si="6"/>
        <v>23.174379191611028</v>
      </c>
      <c r="W17">
        <f t="shared" si="32"/>
        <v>34.412024820872155</v>
      </c>
      <c r="X17">
        <f t="shared" si="26"/>
        <v>378.8017231762604</v>
      </c>
      <c r="Z17" s="40" t="s">
        <v>28</v>
      </c>
      <c r="AA17">
        <v>0.83</v>
      </c>
      <c r="AB17" s="46">
        <f t="shared" si="7"/>
        <v>8.9280000000000008</v>
      </c>
      <c r="AC17">
        <f t="shared" si="27"/>
        <v>4</v>
      </c>
      <c r="AD17">
        <f t="shared" si="8"/>
        <v>15.578225868868746</v>
      </c>
      <c r="AE17">
        <f t="shared" si="33"/>
        <v>34.412024820872155</v>
      </c>
      <c r="AF17">
        <f t="shared" si="9"/>
        <v>254.63719025071538</v>
      </c>
      <c r="AH17" s="40" t="s">
        <v>29</v>
      </c>
      <c r="AI17">
        <v>0.67500000000000004</v>
      </c>
      <c r="AJ17" s="45">
        <f t="shared" si="34"/>
        <v>15.93476000434122</v>
      </c>
      <c r="AK17">
        <f t="shared" si="28"/>
        <v>13.1558721993145</v>
      </c>
      <c r="AL17">
        <f t="shared" si="10"/>
        <v>126.08249358094318</v>
      </c>
      <c r="AM17">
        <f t="shared" si="35"/>
        <v>34.412024820872155</v>
      </c>
      <c r="AN17">
        <f t="shared" si="11"/>
        <v>2060.9081018278134</v>
      </c>
      <c r="AP17" s="41" t="s">
        <v>23</v>
      </c>
      <c r="AQ17">
        <v>0.6</v>
      </c>
      <c r="AR17" s="46">
        <f t="shared" si="12"/>
        <v>11.718</v>
      </c>
      <c r="AS17">
        <f t="shared" si="29"/>
        <v>11.000225046861983</v>
      </c>
      <c r="AT17">
        <f t="shared" si="13"/>
        <v>51.796526505851574</v>
      </c>
      <c r="AU17">
        <f t="shared" si="36"/>
        <v>34.412024820872155</v>
      </c>
      <c r="AV17">
        <f t="shared" si="14"/>
        <v>846.65109398330526</v>
      </c>
      <c r="AX17">
        <f>AX16+Calculations!$C$24</f>
        <v>2.0748933333333324</v>
      </c>
      <c r="AY17">
        <f t="shared" si="15"/>
        <v>7.6148585333333294</v>
      </c>
      <c r="AZ17">
        <f t="shared" si="16"/>
        <v>23.152151358349879</v>
      </c>
      <c r="BA17">
        <f t="shared" si="17"/>
        <v>7.6402099482554604</v>
      </c>
      <c r="BB17">
        <f t="shared" si="18"/>
        <v>30.79236130660534</v>
      </c>
      <c r="BC17">
        <f t="shared" si="19"/>
        <v>38.407219839938669</v>
      </c>
      <c r="BF17">
        <f>BF16/30</f>
        <v>5.4143775853389524</v>
      </c>
      <c r="BH17">
        <f t="shared" si="20"/>
        <v>206.47214892523291</v>
      </c>
      <c r="BI17">
        <f t="shared" si="21"/>
        <v>11.992774518231215</v>
      </c>
      <c r="BJ17">
        <f t="shared" si="22"/>
        <v>11.992774518231215</v>
      </c>
    </row>
    <row r="18" spans="1:62">
      <c r="A18" s="39">
        <v>11</v>
      </c>
      <c r="B18" s="40" t="s">
        <v>25</v>
      </c>
      <c r="C18">
        <v>0.54</v>
      </c>
      <c r="D18" s="45">
        <f t="shared" si="37"/>
        <v>17.497704038404759</v>
      </c>
      <c r="E18">
        <f t="shared" si="23"/>
        <v>13.874693880077213</v>
      </c>
      <c r="F18">
        <f t="shared" si="0"/>
        <v>128.21548033235658</v>
      </c>
      <c r="G18">
        <f t="shared" si="30"/>
        <v>34.239964696767792</v>
      </c>
      <c r="H18">
        <f t="shared" si="1"/>
        <v>2085.2944220755317</v>
      </c>
      <c r="J18" s="40" t="s">
        <v>26</v>
      </c>
      <c r="K18">
        <v>0.82699999999999996</v>
      </c>
      <c r="L18" s="46">
        <f t="shared" si="2"/>
        <v>12.276</v>
      </c>
      <c r="M18">
        <f t="shared" si="24"/>
        <v>10</v>
      </c>
      <c r="N18">
        <f t="shared" si="3"/>
        <v>70.68698706236961</v>
      </c>
      <c r="O18">
        <f t="shared" si="31"/>
        <v>34.239964696767792</v>
      </c>
      <c r="P18">
        <f t="shared" si="4"/>
        <v>1149.651972229798</v>
      </c>
      <c r="R18" s="40" t="s">
        <v>27</v>
      </c>
      <c r="S18">
        <v>0.83399999999999996</v>
      </c>
      <c r="T18" s="45">
        <f t="shared" si="5"/>
        <v>8.4908999999999999</v>
      </c>
      <c r="U18">
        <f t="shared" si="25"/>
        <v>8</v>
      </c>
      <c r="V18">
        <f t="shared" si="6"/>
        <v>27.913007371697589</v>
      </c>
      <c r="W18">
        <f t="shared" si="32"/>
        <v>34.239964696767792</v>
      </c>
      <c r="X18">
        <f t="shared" si="26"/>
        <v>453.97668381908363</v>
      </c>
      <c r="Z18" s="40" t="s">
        <v>28</v>
      </c>
      <c r="AA18">
        <v>0.83</v>
      </c>
      <c r="AB18" s="46">
        <f t="shared" si="7"/>
        <v>9.8208000000000002</v>
      </c>
      <c r="AC18">
        <f t="shared" si="27"/>
        <v>4</v>
      </c>
      <c r="AD18">
        <f t="shared" si="8"/>
        <v>18.763615194193012</v>
      </c>
      <c r="AE18">
        <f t="shared" si="33"/>
        <v>34.239964696767792</v>
      </c>
      <c r="AF18">
        <f t="shared" si="9"/>
        <v>305.17112287062957</v>
      </c>
      <c r="AH18" s="40" t="s">
        <v>29</v>
      </c>
      <c r="AI18">
        <v>0.67500000000000004</v>
      </c>
      <c r="AJ18" s="45">
        <f t="shared" si="34"/>
        <v>16.851990863113315</v>
      </c>
      <c r="AK18">
        <f t="shared" si="28"/>
        <v>13.582195396567352</v>
      </c>
      <c r="AL18">
        <f t="shared" si="10"/>
        <v>145.08329583462321</v>
      </c>
      <c r="AM18">
        <f t="shared" si="35"/>
        <v>34.239964696767792</v>
      </c>
      <c r="AN18">
        <f t="shared" si="11"/>
        <v>2359.632290547403</v>
      </c>
      <c r="AP18" s="41" t="s">
        <v>23</v>
      </c>
      <c r="AQ18">
        <v>0.6</v>
      </c>
      <c r="AR18" s="46">
        <f t="shared" si="12"/>
        <v>12.889800000000001</v>
      </c>
      <c r="AS18">
        <f t="shared" si="29"/>
        <v>11.635861357976843</v>
      </c>
      <c r="AT18">
        <f t="shared" si="13"/>
        <v>65.903821559490666</v>
      </c>
      <c r="AU18">
        <f t="shared" si="36"/>
        <v>34.239964696767792</v>
      </c>
      <c r="AV18">
        <f t="shared" si="14"/>
        <v>1071.8586487000459</v>
      </c>
      <c r="AX18">
        <f>AX17+Calculations!$C$24</f>
        <v>2.2823826666666656</v>
      </c>
      <c r="AY18">
        <f t="shared" si="15"/>
        <v>8.3763443866666627</v>
      </c>
      <c r="AZ18">
        <f t="shared" si="16"/>
        <v>27.251897464689943</v>
      </c>
      <c r="BA18">
        <f t="shared" si="17"/>
        <v>8.9931261633476822</v>
      </c>
      <c r="BB18">
        <f t="shared" si="18"/>
        <v>36.245023628037629</v>
      </c>
      <c r="BC18">
        <f t="shared" si="19"/>
        <v>44.621368014704288</v>
      </c>
      <c r="BH18">
        <f t="shared" si="20"/>
        <v>205.43978818060677</v>
      </c>
      <c r="BI18">
        <f t="shared" si="21"/>
        <v>12.971199150253014</v>
      </c>
      <c r="BJ18">
        <f t="shared" si="22"/>
        <v>12.97119915025301</v>
      </c>
    </row>
    <row r="19" spans="1:62">
      <c r="A19" s="39">
        <v>12</v>
      </c>
      <c r="B19" s="40" t="s">
        <v>25</v>
      </c>
      <c r="C19">
        <v>0.54</v>
      </c>
      <c r="D19" s="45">
        <f t="shared" si="37"/>
        <v>18.411378313963375</v>
      </c>
      <c r="E19">
        <f t="shared" si="23"/>
        <v>14.278513515942258</v>
      </c>
      <c r="F19">
        <f t="shared" si="0"/>
        <v>145.62986274094814</v>
      </c>
      <c r="G19">
        <f t="shared" si="30"/>
        <v>34.068764873283953</v>
      </c>
      <c r="H19">
        <f t="shared" si="1"/>
        <v>2356.6790373187396</v>
      </c>
      <c r="J19" s="40" t="s">
        <v>26</v>
      </c>
      <c r="K19">
        <v>0.82699999999999996</v>
      </c>
      <c r="L19" s="46">
        <f t="shared" si="2"/>
        <v>13.391999999999999</v>
      </c>
      <c r="M19">
        <f t="shared" si="24"/>
        <v>10</v>
      </c>
      <c r="N19">
        <f t="shared" si="3"/>
        <v>83.772744111898277</v>
      </c>
      <c r="O19">
        <f t="shared" si="31"/>
        <v>34.068764873283953</v>
      </c>
      <c r="P19">
        <f t="shared" si="4"/>
        <v>1355.6661129205715</v>
      </c>
      <c r="R19" s="40" t="s">
        <v>27</v>
      </c>
      <c r="S19">
        <v>0.83399999999999996</v>
      </c>
      <c r="T19" s="45">
        <f t="shared" si="5"/>
        <v>9.2628000000000004</v>
      </c>
      <c r="U19">
        <f t="shared" si="25"/>
        <v>8</v>
      </c>
      <c r="V19">
        <f t="shared" si="6"/>
        <v>33.080335166634654</v>
      </c>
      <c r="W19">
        <f t="shared" si="32"/>
        <v>34.068764873283953</v>
      </c>
      <c r="X19">
        <f t="shared" si="26"/>
        <v>535.32792634271368</v>
      </c>
      <c r="Z19" s="40" t="s">
        <v>28</v>
      </c>
      <c r="AA19">
        <v>0.83</v>
      </c>
      <c r="AB19" s="46">
        <f t="shared" si="7"/>
        <v>10.7136</v>
      </c>
      <c r="AC19">
        <f t="shared" si="27"/>
        <v>4</v>
      </c>
      <c r="AD19">
        <f t="shared" si="8"/>
        <v>22.237183951415741</v>
      </c>
      <c r="AE19">
        <f t="shared" si="33"/>
        <v>34.068764873283953</v>
      </c>
      <c r="AF19">
        <f t="shared" si="9"/>
        <v>359.85686095525443</v>
      </c>
      <c r="AH19" s="40" t="s">
        <v>29</v>
      </c>
      <c r="AI19">
        <v>0.67500000000000004</v>
      </c>
      <c r="AJ19" s="45">
        <f t="shared" si="34"/>
        <v>17.689357031165791</v>
      </c>
      <c r="AK19">
        <f t="shared" si="28"/>
        <v>13.96035481220796</v>
      </c>
      <c r="AL19">
        <f t="shared" si="10"/>
        <v>163.82055944635707</v>
      </c>
      <c r="AM19">
        <f t="shared" si="35"/>
        <v>34.068764873283953</v>
      </c>
      <c r="AN19">
        <f t="shared" si="11"/>
        <v>2651.0529575641931</v>
      </c>
      <c r="AP19" s="41" t="s">
        <v>23</v>
      </c>
      <c r="AQ19">
        <v>0.6</v>
      </c>
      <c r="AR19" s="46">
        <f t="shared" si="12"/>
        <v>14.061600000000002</v>
      </c>
      <c r="AS19">
        <f t="shared" si="29"/>
        <v>12.241565924833123</v>
      </c>
      <c r="AT19">
        <f t="shared" si="13"/>
        <v>82.069801847683962</v>
      </c>
      <c r="AU19">
        <f t="shared" si="36"/>
        <v>34.068764873283953</v>
      </c>
      <c r="AV19">
        <f t="shared" si="14"/>
        <v>1328.1079716142312</v>
      </c>
      <c r="AX19">
        <f>AX18+Calculations!$C$24</f>
        <v>2.4898719999999988</v>
      </c>
      <c r="AY19">
        <f t="shared" si="15"/>
        <v>9.137830239999996</v>
      </c>
      <c r="AZ19">
        <f t="shared" si="16"/>
        <v>31.513155480846631</v>
      </c>
      <c r="BA19">
        <f t="shared" si="17"/>
        <v>10.399341308679389</v>
      </c>
      <c r="BB19">
        <f t="shared" si="18"/>
        <v>41.912496789526017</v>
      </c>
      <c r="BC19">
        <f t="shared" si="19"/>
        <v>51.050327029526017</v>
      </c>
      <c r="BH19">
        <f t="shared" si="20"/>
        <v>204.41258923970372</v>
      </c>
      <c r="BI19" s="30">
        <f t="shared" si="21"/>
        <v>13.921789224188194</v>
      </c>
      <c r="BJ19" s="30">
        <f t="shared" si="22"/>
        <v>13.921789224188196</v>
      </c>
    </row>
    <row r="20" spans="1:62">
      <c r="A20" s="39">
        <v>13</v>
      </c>
      <c r="B20" s="40" t="s">
        <v>25</v>
      </c>
      <c r="C20">
        <v>0.54</v>
      </c>
      <c r="D20" s="45">
        <f t="shared" si="37"/>
        <v>19.25187717144134</v>
      </c>
      <c r="E20">
        <f t="shared" si="23"/>
        <v>14.6402116670026</v>
      </c>
      <c r="F20">
        <f t="shared" si="0"/>
        <v>162.81598818689812</v>
      </c>
      <c r="G20">
        <f t="shared" si="30"/>
        <v>33.898421048917534</v>
      </c>
      <c r="H20">
        <f t="shared" si="1"/>
        <v>2621.6223375011514</v>
      </c>
      <c r="J20" s="40" t="s">
        <v>26</v>
      </c>
      <c r="K20">
        <v>0.82699999999999996</v>
      </c>
      <c r="L20" s="46">
        <f t="shared" si="2"/>
        <v>14.508000000000001</v>
      </c>
      <c r="M20">
        <f t="shared" si="24"/>
        <v>10</v>
      </c>
      <c r="N20">
        <f t="shared" si="3"/>
        <v>97.939610633079951</v>
      </c>
      <c r="O20">
        <f t="shared" si="31"/>
        <v>33.898421048917534</v>
      </c>
      <c r="P20">
        <f t="shared" si="4"/>
        <v>1576.9991253384128</v>
      </c>
      <c r="R20" s="40" t="s">
        <v>27</v>
      </c>
      <c r="S20">
        <v>0.83399999999999996</v>
      </c>
      <c r="T20" s="45">
        <f t="shared" si="5"/>
        <v>10.034699999999999</v>
      </c>
      <c r="U20">
        <f t="shared" si="25"/>
        <v>8</v>
      </c>
      <c r="V20">
        <f t="shared" si="6"/>
        <v>38.674573456783939</v>
      </c>
      <c r="W20">
        <f t="shared" si="32"/>
        <v>33.898421048917534</v>
      </c>
      <c r="X20">
        <f t="shared" si="26"/>
        <v>622.72831308954221</v>
      </c>
      <c r="Z20" s="40" t="s">
        <v>28</v>
      </c>
      <c r="AA20">
        <v>0.83</v>
      </c>
      <c r="AB20" s="46">
        <f t="shared" si="7"/>
        <v>11.606400000000001</v>
      </c>
      <c r="AC20">
        <f t="shared" si="27"/>
        <v>4</v>
      </c>
      <c r="AD20">
        <f t="shared" si="8"/>
        <v>25.997729462803917</v>
      </c>
      <c r="AE20">
        <f t="shared" si="33"/>
        <v>33.898421048917534</v>
      </c>
      <c r="AF20">
        <f t="shared" si="9"/>
        <v>418.60894033183854</v>
      </c>
      <c r="AH20" s="40" t="s">
        <v>29</v>
      </c>
      <c r="AI20">
        <v>0.67500000000000004</v>
      </c>
      <c r="AJ20" s="45">
        <f t="shared" si="34"/>
        <v>18.459659234441144</v>
      </c>
      <c r="AK20">
        <f t="shared" si="28"/>
        <v>14.299538088674256</v>
      </c>
      <c r="AL20">
        <f t="shared" si="10"/>
        <v>182.25457962307632</v>
      </c>
      <c r="AM20">
        <f t="shared" si="35"/>
        <v>33.898421048917534</v>
      </c>
      <c r="AN20">
        <f t="shared" si="11"/>
        <v>2934.6176771243408</v>
      </c>
      <c r="AP20" s="41" t="s">
        <v>23</v>
      </c>
      <c r="AQ20">
        <v>0.6</v>
      </c>
      <c r="AR20" s="46">
        <f t="shared" si="12"/>
        <v>15.2334</v>
      </c>
      <c r="AS20">
        <f t="shared" si="29"/>
        <v>12.820735191957533</v>
      </c>
      <c r="AT20">
        <f t="shared" si="13"/>
        <v>100.3767540947417</v>
      </c>
      <c r="AU20">
        <f t="shared" si="36"/>
        <v>33.898421048917534</v>
      </c>
      <c r="AV20">
        <f t="shared" si="14"/>
        <v>1616.2414000679253</v>
      </c>
      <c r="AX20">
        <f>AX19+Calculations!$C$24</f>
        <v>2.6973613333333319</v>
      </c>
      <c r="AY20">
        <f t="shared" si="15"/>
        <v>9.8993160933333275</v>
      </c>
      <c r="AZ20">
        <f t="shared" si="16"/>
        <v>35.932301301973283</v>
      </c>
      <c r="BA20">
        <f t="shared" si="17"/>
        <v>11.857659429651184</v>
      </c>
      <c r="BB20">
        <f t="shared" si="18"/>
        <v>47.789960731624468</v>
      </c>
      <c r="BC20">
        <f t="shared" si="19"/>
        <v>57.689276824957794</v>
      </c>
      <c r="BH20">
        <f t="shared" si="20"/>
        <v>203.39052629350519</v>
      </c>
      <c r="BI20">
        <f t="shared" si="21"/>
        <v>14.849006067647082</v>
      </c>
      <c r="BJ20">
        <f t="shared" si="22"/>
        <v>14.849006067647084</v>
      </c>
    </row>
    <row r="21" spans="1:62">
      <c r="A21" s="39">
        <v>14</v>
      </c>
      <c r="B21" s="40" t="s">
        <v>25</v>
      </c>
      <c r="C21">
        <v>0.54</v>
      </c>
      <c r="D21" s="45">
        <f t="shared" si="37"/>
        <v>20.030057567077868</v>
      </c>
      <c r="E21">
        <f t="shared" si="23"/>
        <v>14.967251141154106</v>
      </c>
      <c r="F21">
        <f t="shared" si="0"/>
        <v>179.7436928592638</v>
      </c>
      <c r="G21">
        <f t="shared" si="30"/>
        <v>33.728928943672948</v>
      </c>
      <c r="H21">
        <f t="shared" si="1"/>
        <v>2879.7170661486543</v>
      </c>
      <c r="J21" s="40" t="s">
        <v>26</v>
      </c>
      <c r="K21">
        <v>0.82699999999999996</v>
      </c>
      <c r="L21" s="46">
        <f t="shared" si="2"/>
        <v>15.624000000000002</v>
      </c>
      <c r="M21">
        <f t="shared" si="24"/>
        <v>10</v>
      </c>
      <c r="N21">
        <f t="shared" si="3"/>
        <v>113.18343626827794</v>
      </c>
      <c r="O21">
        <f t="shared" si="31"/>
        <v>33.728928943672948</v>
      </c>
      <c r="P21">
        <f t="shared" si="4"/>
        <v>1813.3391377594039</v>
      </c>
      <c r="R21" s="40" t="s">
        <v>27</v>
      </c>
      <c r="S21">
        <v>0.83399999999999996</v>
      </c>
      <c r="T21" s="45">
        <f t="shared" si="5"/>
        <v>10.8066</v>
      </c>
      <c r="U21">
        <f t="shared" si="25"/>
        <v>8</v>
      </c>
      <c r="V21">
        <f t="shared" si="6"/>
        <v>44.694083341293783</v>
      </c>
      <c r="W21">
        <f t="shared" si="32"/>
        <v>33.728928943672948</v>
      </c>
      <c r="X21">
        <f t="shared" si="26"/>
        <v>716.05469158001995</v>
      </c>
      <c r="Z21" s="40" t="s">
        <v>28</v>
      </c>
      <c r="AA21">
        <v>0.83</v>
      </c>
      <c r="AB21" s="46">
        <f t="shared" si="7"/>
        <v>12.4992</v>
      </c>
      <c r="AC21">
        <f t="shared" si="27"/>
        <v>4</v>
      </c>
      <c r="AD21">
        <f t="shared" si="8"/>
        <v>30.044150030338596</v>
      </c>
      <c r="AE21">
        <f t="shared" si="33"/>
        <v>33.728928943672948</v>
      </c>
      <c r="AF21">
        <f t="shared" si="9"/>
        <v>481.34457573451147</v>
      </c>
      <c r="AH21" s="40" t="s">
        <v>29</v>
      </c>
      <c r="AI21">
        <v>0.67500000000000004</v>
      </c>
      <c r="AJ21" s="45">
        <f t="shared" si="34"/>
        <v>19.172847679578592</v>
      </c>
      <c r="AK21">
        <f t="shared" si="28"/>
        <v>14.60658479924488</v>
      </c>
      <c r="AL21">
        <f t="shared" si="10"/>
        <v>200.36384099779482</v>
      </c>
      <c r="AM21">
        <f t="shared" si="35"/>
        <v>33.728928943672948</v>
      </c>
      <c r="AN21">
        <f t="shared" si="11"/>
        <v>3210.0774340506027</v>
      </c>
      <c r="AP21" s="41" t="s">
        <v>23</v>
      </c>
      <c r="AQ21">
        <v>0.6</v>
      </c>
      <c r="AR21" s="46">
        <f t="shared" si="12"/>
        <v>16.405200000000001</v>
      </c>
      <c r="AS21">
        <f t="shared" si="29"/>
        <v>13.376166828123095</v>
      </c>
      <c r="AT21">
        <f t="shared" si="13"/>
        <v>120.90223973529106</v>
      </c>
      <c r="AU21">
        <f t="shared" si="36"/>
        <v>33.728928943672948</v>
      </c>
      <c r="AV21">
        <f t="shared" si="14"/>
        <v>1937.0039502522086</v>
      </c>
      <c r="AX21">
        <f>AX20+Calculations!$C$24</f>
        <v>2.9048506666666651</v>
      </c>
      <c r="AY21">
        <f t="shared" si="15"/>
        <v>10.660801946666661</v>
      </c>
      <c r="AZ21">
        <f t="shared" si="16"/>
        <v>40.507760259778216</v>
      </c>
      <c r="BA21">
        <f t="shared" si="17"/>
        <v>13.367560885726812</v>
      </c>
      <c r="BB21">
        <f t="shared" si="18"/>
        <v>53.875321145505026</v>
      </c>
      <c r="BC21">
        <f t="shared" si="19"/>
        <v>64.536123092171692</v>
      </c>
      <c r="BH21">
        <f t="shared" si="20"/>
        <v>202.37357366203767</v>
      </c>
      <c r="BI21">
        <f t="shared" si="21"/>
        <v>15.756317541109411</v>
      </c>
      <c r="BJ21">
        <f t="shared" si="22"/>
        <v>15.756317541109413</v>
      </c>
    </row>
    <row r="22" spans="1:62">
      <c r="A22" s="39">
        <v>15</v>
      </c>
      <c r="B22" s="40" t="s">
        <v>25</v>
      </c>
      <c r="C22">
        <v>0.54</v>
      </c>
      <c r="D22" s="45">
        <f t="shared" si="37"/>
        <v>20.7545261831999</v>
      </c>
      <c r="E22">
        <f t="shared" si="23"/>
        <v>15.265313768315215</v>
      </c>
      <c r="F22">
        <f t="shared" si="0"/>
        <v>196.39589323218738</v>
      </c>
      <c r="G22">
        <f t="shared" si="30"/>
        <v>33.560284298954585</v>
      </c>
      <c r="H22">
        <f t="shared" si="1"/>
        <v>3130.7734557091858</v>
      </c>
      <c r="J22" s="40" t="s">
        <v>26</v>
      </c>
      <c r="K22">
        <v>0.82699999999999996</v>
      </c>
      <c r="L22" s="46">
        <f t="shared" si="2"/>
        <v>16.740000000000002</v>
      </c>
      <c r="M22">
        <f t="shared" si="24"/>
        <v>10</v>
      </c>
      <c r="N22">
        <f t="shared" si="3"/>
        <v>129.50039320758682</v>
      </c>
      <c r="O22">
        <f t="shared" si="31"/>
        <v>33.560284298954585</v>
      </c>
      <c r="P22">
        <f t="shared" si="4"/>
        <v>2064.3832561146851</v>
      </c>
      <c r="R22" s="40" t="s">
        <v>27</v>
      </c>
      <c r="S22">
        <v>0.83399999999999996</v>
      </c>
      <c r="T22" s="45">
        <f t="shared" si="5"/>
        <v>11.5785</v>
      </c>
      <c r="U22">
        <f t="shared" si="25"/>
        <v>8</v>
      </c>
      <c r="V22">
        <f t="shared" si="6"/>
        <v>51.137353287553388</v>
      </c>
      <c r="W22">
        <f t="shared" si="32"/>
        <v>33.560284298954585</v>
      </c>
      <c r="X22">
        <f t="shared" si="26"/>
        <v>815.18745444752653</v>
      </c>
      <c r="Z22" s="40" t="s">
        <v>28</v>
      </c>
      <c r="AA22">
        <v>0.83</v>
      </c>
      <c r="AB22" s="46">
        <f t="shared" si="7"/>
        <v>13.391999999999999</v>
      </c>
      <c r="AC22">
        <f t="shared" si="27"/>
        <v>4</v>
      </c>
      <c r="AD22">
        <f t="shared" si="8"/>
        <v>34.375429575175772</v>
      </c>
      <c r="AE22">
        <f t="shared" si="33"/>
        <v>33.560284298954585</v>
      </c>
      <c r="AF22">
        <f t="shared" si="9"/>
        <v>547.98336498475555</v>
      </c>
      <c r="AH22" s="40" t="s">
        <v>29</v>
      </c>
      <c r="AI22">
        <v>0.67500000000000004</v>
      </c>
      <c r="AJ22" s="45">
        <f t="shared" si="34"/>
        <v>19.836810237335275</v>
      </c>
      <c r="AK22">
        <f t="shared" si="28"/>
        <v>14.886716120856725</v>
      </c>
      <c r="AL22">
        <f t="shared" si="10"/>
        <v>218.13849317001043</v>
      </c>
      <c r="AM22">
        <f t="shared" si="35"/>
        <v>33.560284298954585</v>
      </c>
      <c r="AN22">
        <f t="shared" si="11"/>
        <v>3477.3751774822786</v>
      </c>
      <c r="AP22" s="41" t="s">
        <v>23</v>
      </c>
      <c r="AQ22">
        <v>0.6</v>
      </c>
      <c r="AR22" s="46">
        <f t="shared" si="12"/>
        <v>17.576999999999998</v>
      </c>
      <c r="AS22">
        <f t="shared" si="29"/>
        <v>13.910198760198945</v>
      </c>
      <c r="AT22">
        <f t="shared" si="13"/>
        <v>143.71965878871572</v>
      </c>
      <c r="AU22">
        <f t="shared" si="36"/>
        <v>33.560284298954585</v>
      </c>
      <c r="AV22">
        <f t="shared" si="14"/>
        <v>2291.0544889415719</v>
      </c>
      <c r="AX22">
        <f>AX21+Calculations!$C$24</f>
        <v>3.1123399999999983</v>
      </c>
      <c r="AY22">
        <f t="shared" si="15"/>
        <v>11.422287799999994</v>
      </c>
      <c r="AZ22">
        <f t="shared" si="16"/>
        <v>45.239198915485602</v>
      </c>
      <c r="BA22">
        <f t="shared" si="17"/>
        <v>14.928935642110249</v>
      </c>
      <c r="BB22">
        <f t="shared" si="18"/>
        <v>60.168134557595849</v>
      </c>
      <c r="BC22">
        <f t="shared" si="19"/>
        <v>71.590422357595841</v>
      </c>
      <c r="BH22">
        <f t="shared" si="20"/>
        <v>201.36170579372748</v>
      </c>
      <c r="BI22" s="30">
        <f t="shared" si="21"/>
        <v>16.646472736755861</v>
      </c>
      <c r="BJ22" s="30">
        <f t="shared" si="22"/>
        <v>16.646472736755864</v>
      </c>
    </row>
    <row r="23" spans="1:62">
      <c r="A23" s="39">
        <v>16</v>
      </c>
      <c r="B23" s="40" t="s">
        <v>25</v>
      </c>
      <c r="C23">
        <v>0.54</v>
      </c>
      <c r="D23" s="45">
        <f t="shared" si="37"/>
        <v>21.432221314412715</v>
      </c>
      <c r="E23">
        <f t="shared" si="23"/>
        <v>15.538819653032037</v>
      </c>
      <c r="F23">
        <f t="shared" si="0"/>
        <v>212.76417953336323</v>
      </c>
      <c r="G23">
        <f t="shared" si="30"/>
        <v>33.392482877459813</v>
      </c>
      <c r="H23">
        <f t="shared" si="1"/>
        <v>3374.7440054521931</v>
      </c>
      <c r="J23" s="40" t="s">
        <v>26</v>
      </c>
      <c r="K23">
        <v>0.82699999999999996</v>
      </c>
      <c r="L23" s="46">
        <f t="shared" si="2"/>
        <v>17.856000000000002</v>
      </c>
      <c r="M23">
        <f t="shared" si="24"/>
        <v>10</v>
      </c>
      <c r="N23">
        <f t="shared" si="3"/>
        <v>146.88693053111686</v>
      </c>
      <c r="O23">
        <f t="shared" si="31"/>
        <v>33.392482877459813</v>
      </c>
      <c r="P23">
        <f t="shared" si="4"/>
        <v>2329.8366735244003</v>
      </c>
      <c r="R23" s="40" t="s">
        <v>27</v>
      </c>
      <c r="S23">
        <v>0.83399999999999996</v>
      </c>
      <c r="T23" s="45">
        <f t="shared" si="5"/>
        <v>12.3504</v>
      </c>
      <c r="U23">
        <f t="shared" si="25"/>
        <v>8</v>
      </c>
      <c r="V23">
        <f t="shared" si="6"/>
        <v>58.002981101789963</v>
      </c>
      <c r="W23">
        <f t="shared" si="32"/>
        <v>33.392482877459813</v>
      </c>
      <c r="X23">
        <f t="shared" si="26"/>
        <v>920.0101878094946</v>
      </c>
      <c r="Z23" s="40" t="s">
        <v>28</v>
      </c>
      <c r="AA23">
        <v>0.83</v>
      </c>
      <c r="AB23" s="46">
        <f t="shared" si="7"/>
        <v>14.284800000000001</v>
      </c>
      <c r="AC23">
        <f t="shared" si="27"/>
        <v>4</v>
      </c>
      <c r="AD23">
        <f t="shared" si="8"/>
        <v>38.990625517964254</v>
      </c>
      <c r="AE23">
        <f t="shared" si="33"/>
        <v>33.392482877459813</v>
      </c>
      <c r="AF23">
        <f t="shared" si="9"/>
        <v>618.44705262028276</v>
      </c>
      <c r="AH23" s="40" t="s">
        <v>29</v>
      </c>
      <c r="AI23">
        <v>0.67500000000000004</v>
      </c>
      <c r="AJ23" s="45">
        <f t="shared" si="34"/>
        <v>20.45790573089565</v>
      </c>
      <c r="AK23">
        <f t="shared" si="28"/>
        <v>15.144002991533222</v>
      </c>
      <c r="AL23">
        <f t="shared" si="10"/>
        <v>235.57622959191133</v>
      </c>
      <c r="AM23">
        <f t="shared" si="35"/>
        <v>33.392482877459813</v>
      </c>
      <c r="AN23">
        <f t="shared" si="11"/>
        <v>3736.5757261676094</v>
      </c>
      <c r="AP23" s="41" t="s">
        <v>23</v>
      </c>
      <c r="AQ23">
        <v>0.6</v>
      </c>
      <c r="AR23" s="46">
        <f t="shared" si="12"/>
        <v>18.748800000000003</v>
      </c>
      <c r="AS23">
        <f t="shared" si="29"/>
        <v>14.424809057927686</v>
      </c>
      <c r="AT23">
        <f t="shared" si="13"/>
        <v>168.89871355933315</v>
      </c>
      <c r="AU23">
        <f t="shared" si="36"/>
        <v>33.392482877459813</v>
      </c>
      <c r="AV23">
        <f t="shared" si="14"/>
        <v>2678.9750152636352</v>
      </c>
      <c r="AX23">
        <f>AX22+Calculations!$C$24</f>
        <v>3.3198293333333315</v>
      </c>
      <c r="AY23">
        <f t="shared" si="15"/>
        <v>12.183773653333326</v>
      </c>
      <c r="AZ23">
        <f t="shared" si="16"/>
        <v>50.127020385274051</v>
      </c>
      <c r="BA23">
        <f t="shared" si="17"/>
        <v>16.541916727140439</v>
      </c>
      <c r="BB23">
        <f t="shared" si="18"/>
        <v>66.668937112414483</v>
      </c>
      <c r="BC23">
        <f t="shared" si="19"/>
        <v>78.852710765747815</v>
      </c>
      <c r="BH23">
        <f t="shared" si="20"/>
        <v>200.3548972647589</v>
      </c>
      <c r="BI23">
        <f t="shared" si="21"/>
        <v>17.521687840884727</v>
      </c>
      <c r="BJ23">
        <f t="shared" si="22"/>
        <v>17.521687840884727</v>
      </c>
    </row>
    <row r="24" spans="1:62">
      <c r="A24" s="39">
        <v>17</v>
      </c>
      <c r="B24" s="40" t="s">
        <v>25</v>
      </c>
      <c r="C24">
        <v>0.54</v>
      </c>
      <c r="D24" s="45">
        <f t="shared" si="37"/>
        <v>22.068818036997026</v>
      </c>
      <c r="E24">
        <f t="shared" si="23"/>
        <v>15.79127109665221</v>
      </c>
      <c r="F24">
        <f t="shared" si="0"/>
        <v>228.84593640566257</v>
      </c>
      <c r="G24">
        <f t="shared" si="30"/>
        <v>33.225520463072513</v>
      </c>
      <c r="H24">
        <f t="shared" si="1"/>
        <v>3611.6745378952328</v>
      </c>
      <c r="J24" s="40" t="s">
        <v>26</v>
      </c>
      <c r="K24">
        <v>0.82699999999999996</v>
      </c>
      <c r="L24" s="46">
        <f t="shared" si="2"/>
        <v>18.972000000000001</v>
      </c>
      <c r="M24">
        <f t="shared" si="24"/>
        <v>10</v>
      </c>
      <c r="N24">
        <f t="shared" si="3"/>
        <v>165.33973755746391</v>
      </c>
      <c r="O24">
        <f t="shared" si="31"/>
        <v>33.225520463072513</v>
      </c>
      <c r="P24">
        <f t="shared" si="4"/>
        <v>2609.4119459479139</v>
      </c>
      <c r="R24" s="40" t="s">
        <v>27</v>
      </c>
      <c r="S24">
        <v>0.83399999999999996</v>
      </c>
      <c r="T24" s="45">
        <f t="shared" si="5"/>
        <v>13.122300000000001</v>
      </c>
      <c r="U24">
        <f t="shared" si="25"/>
        <v>8</v>
      </c>
      <c r="V24">
        <f t="shared" si="6"/>
        <v>65.289659456045968</v>
      </c>
      <c r="W24">
        <f t="shared" si="32"/>
        <v>33.225520463072513</v>
      </c>
      <c r="X24">
        <f t="shared" si="26"/>
        <v>1030.4093852348483</v>
      </c>
      <c r="Z24" s="40" t="s">
        <v>28</v>
      </c>
      <c r="AA24">
        <v>0.83</v>
      </c>
      <c r="AB24" s="46">
        <f t="shared" si="7"/>
        <v>15.177600000000002</v>
      </c>
      <c r="AC24">
        <f t="shared" si="27"/>
        <v>4</v>
      </c>
      <c r="AD24">
        <f t="shared" si="8"/>
        <v>43.888859049824596</v>
      </c>
      <c r="AE24">
        <f t="shared" si="33"/>
        <v>33.225520463072513</v>
      </c>
      <c r="AF24">
        <f t="shared" si="9"/>
        <v>692.65933761890483</v>
      </c>
      <c r="AH24" s="40" t="s">
        <v>29</v>
      </c>
      <c r="AI24">
        <v>0.67500000000000004</v>
      </c>
      <c r="AJ24" s="45">
        <f t="shared" si="34"/>
        <v>21.041335266393169</v>
      </c>
      <c r="AK24">
        <f t="shared" si="28"/>
        <v>15.381677353823644</v>
      </c>
      <c r="AL24">
        <f t="shared" si="10"/>
        <v>252.67962842345005</v>
      </c>
      <c r="AM24">
        <f t="shared" si="35"/>
        <v>33.225520463072513</v>
      </c>
      <c r="AN24">
        <f t="shared" si="11"/>
        <v>3987.8207782728268</v>
      </c>
      <c r="AP24" s="41" t="s">
        <v>23</v>
      </c>
      <c r="AQ24">
        <v>0.6</v>
      </c>
      <c r="AR24" s="46">
        <f t="shared" si="12"/>
        <v>19.920600000000004</v>
      </c>
      <c r="AS24">
        <f t="shared" si="29"/>
        <v>14.921689404974222</v>
      </c>
      <c r="AT24">
        <f t="shared" si="13"/>
        <v>196.50579519819286</v>
      </c>
      <c r="AU24">
        <f t="shared" si="36"/>
        <v>33.225520463072513</v>
      </c>
      <c r="AV24">
        <f t="shared" si="14"/>
        <v>3101.2784767481994</v>
      </c>
      <c r="AX24">
        <f>AX23+Calculations!$C$24</f>
        <v>3.5273186666666647</v>
      </c>
      <c r="AY24">
        <f t="shared" si="15"/>
        <v>12.945259506666659</v>
      </c>
      <c r="AZ24">
        <f t="shared" si="16"/>
        <v>55.17204387450478</v>
      </c>
      <c r="BA24">
        <f t="shared" si="17"/>
        <v>18.206774478586578</v>
      </c>
      <c r="BB24">
        <f t="shared" si="18"/>
        <v>73.378818353091361</v>
      </c>
      <c r="BC24">
        <f t="shared" si="19"/>
        <v>86.32407785975802</v>
      </c>
      <c r="BH24">
        <f t="shared" si="20"/>
        <v>199.35312277843508</v>
      </c>
      <c r="BI24">
        <f t="shared" si="21"/>
        <v>18.383775550565034</v>
      </c>
      <c r="BJ24">
        <f t="shared" si="22"/>
        <v>18.383775550565034</v>
      </c>
    </row>
    <row r="25" spans="1:62">
      <c r="A25" s="39">
        <v>18</v>
      </c>
      <c r="B25" s="40" t="s">
        <v>25</v>
      </c>
      <c r="C25">
        <v>0.54</v>
      </c>
      <c r="D25" s="45">
        <f t="shared" si="37"/>
        <v>22.669017392117201</v>
      </c>
      <c r="E25">
        <f t="shared" si="23"/>
        <v>16.02548750295103</v>
      </c>
      <c r="F25">
        <f t="shared" si="0"/>
        <v>244.64242646334893</v>
      </c>
      <c r="G25">
        <f t="shared" si="30"/>
        <v>33.05939286075715</v>
      </c>
      <c r="H25">
        <f t="shared" si="1"/>
        <v>3841.6717912588529</v>
      </c>
      <c r="J25" s="40" t="s">
        <v>26</v>
      </c>
      <c r="K25">
        <v>0.82699999999999996</v>
      </c>
      <c r="L25" s="46">
        <f t="shared" si="2"/>
        <v>20.087999999999997</v>
      </c>
      <c r="M25">
        <f t="shared" si="24"/>
        <v>10</v>
      </c>
      <c r="N25">
        <f t="shared" si="3"/>
        <v>184.8557139804071</v>
      </c>
      <c r="O25">
        <f t="shared" si="31"/>
        <v>33.05939286075715</v>
      </c>
      <c r="P25">
        <f t="shared" si="4"/>
        <v>2902.828393741167</v>
      </c>
      <c r="R25" s="40" t="s">
        <v>27</v>
      </c>
      <c r="S25">
        <v>0.83399999999999996</v>
      </c>
      <c r="T25" s="45">
        <f t="shared" si="5"/>
        <v>13.8942</v>
      </c>
      <c r="U25">
        <f t="shared" si="25"/>
        <v>8</v>
      </c>
      <c r="V25">
        <f t="shared" si="6"/>
        <v>72.99616409570244</v>
      </c>
      <c r="W25">
        <f t="shared" si="32"/>
        <v>33.05939286075715</v>
      </c>
      <c r="X25">
        <f t="shared" si="26"/>
        <v>1146.2742114298583</v>
      </c>
      <c r="Z25" s="40" t="s">
        <v>28</v>
      </c>
      <c r="AA25">
        <v>0.83</v>
      </c>
      <c r="AB25" s="46">
        <f t="shared" si="7"/>
        <v>16.070400000000003</v>
      </c>
      <c r="AC25">
        <f t="shared" si="27"/>
        <v>4</v>
      </c>
      <c r="AD25">
        <f t="shared" si="8"/>
        <v>49.069307205238964</v>
      </c>
      <c r="AE25">
        <f t="shared" si="33"/>
        <v>33.05939286075715</v>
      </c>
      <c r="AF25">
        <f t="shared" si="9"/>
        <v>770.54571454400866</v>
      </c>
      <c r="AH25" s="40" t="s">
        <v>29</v>
      </c>
      <c r="AI25">
        <v>0.67500000000000004</v>
      </c>
      <c r="AJ25" s="45">
        <f t="shared" si="34"/>
        <v>21.591407264159848</v>
      </c>
      <c r="AK25">
        <f t="shared" si="28"/>
        <v>15.60234541724947</v>
      </c>
      <c r="AL25">
        <f t="shared" si="10"/>
        <v>269.45440677238594</v>
      </c>
      <c r="AM25">
        <f t="shared" si="35"/>
        <v>33.05939286075715</v>
      </c>
      <c r="AN25">
        <f t="shared" si="11"/>
        <v>4231.29956848652</v>
      </c>
      <c r="AP25" s="41" t="s">
        <v>23</v>
      </c>
      <c r="AQ25">
        <v>0.6</v>
      </c>
      <c r="AR25" s="46">
        <f t="shared" si="12"/>
        <v>21.092400000000001</v>
      </c>
      <c r="AS25">
        <f t="shared" si="29"/>
        <v>15.402300253381059</v>
      </c>
      <c r="AT25">
        <f t="shared" si="13"/>
        <v>226.60430979137314</v>
      </c>
      <c r="AU25">
        <f t="shared" si="36"/>
        <v>33.05939286075715</v>
      </c>
      <c r="AV25">
        <f t="shared" si="14"/>
        <v>3558.4154281335182</v>
      </c>
      <c r="AX25">
        <f>AX24+Calculations!$C$24</f>
        <v>3.7348079999999979</v>
      </c>
      <c r="AY25">
        <f t="shared" si="15"/>
        <v>13.706745359999992</v>
      </c>
      <c r="AZ25">
        <f t="shared" si="16"/>
        <v>60.375298844869704</v>
      </c>
      <c r="BA25">
        <f t="shared" si="17"/>
        <v>19.923848618807003</v>
      </c>
      <c r="BB25">
        <f t="shared" si="18"/>
        <v>80.299147463676704</v>
      </c>
      <c r="BC25">
        <f t="shared" si="19"/>
        <v>94.005892823676703</v>
      </c>
      <c r="BH25">
        <f t="shared" si="20"/>
        <v>198.35635716454291</v>
      </c>
      <c r="BI25">
        <f t="shared" si="21"/>
        <v>19.234237442712839</v>
      </c>
      <c r="BJ25">
        <f t="shared" si="22"/>
        <v>19.234237442712839</v>
      </c>
    </row>
    <row r="26" spans="1:62">
      <c r="A26" s="39">
        <v>19</v>
      </c>
      <c r="B26" s="40" t="s">
        <v>25</v>
      </c>
      <c r="C26">
        <v>0.54</v>
      </c>
      <c r="D26" s="45">
        <f t="shared" si="37"/>
        <v>23.2367572778045</v>
      </c>
      <c r="E26">
        <f t="shared" si="23"/>
        <v>16.243770114164416</v>
      </c>
      <c r="F26">
        <f t="shared" si="0"/>
        <v>260.15749514326512</v>
      </c>
      <c r="G26">
        <f t="shared" si="30"/>
        <v>32.894095896453365</v>
      </c>
      <c r="H26">
        <f t="shared" si="1"/>
        <v>4064.88165687624</v>
      </c>
      <c r="J26" s="40" t="s">
        <v>26</v>
      </c>
      <c r="K26">
        <v>0.82699999999999996</v>
      </c>
      <c r="L26" s="46">
        <f t="shared" si="2"/>
        <v>21.204000000000001</v>
      </c>
      <c r="M26">
        <f t="shared" si="24"/>
        <v>10</v>
      </c>
      <c r="N26">
        <f t="shared" si="3"/>
        <v>205.43194521847624</v>
      </c>
      <c r="O26">
        <f t="shared" si="31"/>
        <v>32.894095896453365</v>
      </c>
      <c r="P26">
        <f t="shared" si="4"/>
        <v>3209.8116004504682</v>
      </c>
      <c r="R26" s="40" t="s">
        <v>27</v>
      </c>
      <c r="S26">
        <v>0.83399999999999996</v>
      </c>
      <c r="T26" s="45">
        <f t="shared" si="5"/>
        <v>14.6661</v>
      </c>
      <c r="U26">
        <f t="shared" si="25"/>
        <v>8</v>
      </c>
      <c r="V26">
        <f t="shared" si="6"/>
        <v>81.121344105471707</v>
      </c>
      <c r="W26">
        <f t="shared" si="32"/>
        <v>32.894095896453365</v>
      </c>
      <c r="X26">
        <f t="shared" si="26"/>
        <v>1267.4963043209245</v>
      </c>
      <c r="Z26" s="40" t="s">
        <v>28</v>
      </c>
      <c r="AA26">
        <v>0.83</v>
      </c>
      <c r="AB26" s="46">
        <f t="shared" si="7"/>
        <v>16.963200000000001</v>
      </c>
      <c r="AC26">
        <f t="shared" si="27"/>
        <v>4</v>
      </c>
      <c r="AD26">
        <f t="shared" si="8"/>
        <v>54.531196318679477</v>
      </c>
      <c r="AE26">
        <f t="shared" si="33"/>
        <v>32.894095896453365</v>
      </c>
      <c r="AF26">
        <f t="shared" si="9"/>
        <v>852.03334050110948</v>
      </c>
      <c r="AH26" s="40" t="s">
        <v>29</v>
      </c>
      <c r="AI26">
        <v>0.67500000000000004</v>
      </c>
      <c r="AJ26" s="45">
        <f t="shared" si="34"/>
        <v>22.111730737465329</v>
      </c>
      <c r="AK26">
        <f t="shared" si="28"/>
        <v>15.808137626519624</v>
      </c>
      <c r="AL26">
        <f t="shared" si="10"/>
        <v>285.90825883694964</v>
      </c>
      <c r="AM26">
        <f t="shared" si="35"/>
        <v>32.894095896453365</v>
      </c>
      <c r="AN26">
        <f t="shared" si="11"/>
        <v>4467.2294997910503</v>
      </c>
      <c r="AP26" s="41" t="s">
        <v>23</v>
      </c>
      <c r="AQ26">
        <v>0.6</v>
      </c>
      <c r="AR26" s="46">
        <f t="shared" si="12"/>
        <v>22.264200000000002</v>
      </c>
      <c r="AS26">
        <f t="shared" si="29"/>
        <v>15.867912970911281</v>
      </c>
      <c r="AT26">
        <f t="shared" si="13"/>
        <v>259.25495629573891</v>
      </c>
      <c r="AU26">
        <f t="shared" si="36"/>
        <v>32.894095896453365</v>
      </c>
      <c r="AV26">
        <f t="shared" si="14"/>
        <v>4050.7797621608593</v>
      </c>
      <c r="AX26">
        <f>AX25+Calculations!$C$24</f>
        <v>3.9422973333333311</v>
      </c>
      <c r="AY26">
        <f t="shared" si="15"/>
        <v>14.468231213333326</v>
      </c>
      <c r="AZ26">
        <f t="shared" si="16"/>
        <v>65.737892042249399</v>
      </c>
      <c r="BA26">
        <f t="shared" si="17"/>
        <v>21.693504373942304</v>
      </c>
      <c r="BB26">
        <f t="shared" si="18"/>
        <v>87.431396416191703</v>
      </c>
      <c r="BC26">
        <f t="shared" si="19"/>
        <v>101.89962762952503</v>
      </c>
      <c r="BH26">
        <f t="shared" si="20"/>
        <v>197.36457537872019</v>
      </c>
      <c r="BI26">
        <f t="shared" si="21"/>
        <v>20.074331335878306</v>
      </c>
      <c r="BJ26">
        <f t="shared" si="22"/>
        <v>20.074331335878306</v>
      </c>
    </row>
    <row r="27" spans="1:62">
      <c r="A27" s="39">
        <v>20</v>
      </c>
      <c r="B27" s="40" t="s">
        <v>25</v>
      </c>
      <c r="C27">
        <v>0.54</v>
      </c>
      <c r="D27" s="45">
        <f t="shared" si="37"/>
        <v>23.775369183649239</v>
      </c>
      <c r="E27">
        <f t="shared" si="23"/>
        <v>16.448020216457568</v>
      </c>
      <c r="F27">
        <f t="shared" si="0"/>
        <v>275.39668458036738</v>
      </c>
      <c r="G27">
        <f t="shared" si="30"/>
        <v>32.729625416971096</v>
      </c>
      <c r="H27">
        <f t="shared" si="1"/>
        <v>4281.4744055108022</v>
      </c>
      <c r="J27" s="40" t="s">
        <v>26</v>
      </c>
      <c r="K27">
        <v>0.82699999999999996</v>
      </c>
      <c r="L27" s="46">
        <f t="shared" si="2"/>
        <v>22.32</v>
      </c>
      <c r="M27">
        <f t="shared" si="24"/>
        <v>10</v>
      </c>
      <c r="N27">
        <f t="shared" si="3"/>
        <v>227.06568183354321</v>
      </c>
      <c r="O27">
        <f t="shared" si="31"/>
        <v>32.729625416971096</v>
      </c>
      <c r="P27">
        <f t="shared" si="4"/>
        <v>3530.0929879439786</v>
      </c>
      <c r="R27" s="40" t="s">
        <v>27</v>
      </c>
      <c r="S27">
        <v>0.83399999999999996</v>
      </c>
      <c r="T27" s="45">
        <f t="shared" si="5"/>
        <v>15.437999999999999</v>
      </c>
      <c r="U27">
        <f t="shared" si="25"/>
        <v>8</v>
      </c>
      <c r="V27">
        <f t="shared" si="6"/>
        <v>89.664113782172009</v>
      </c>
      <c r="W27">
        <f t="shared" si="32"/>
        <v>32.729625416971096</v>
      </c>
      <c r="X27">
        <f t="shared" si="26"/>
        <v>1393.9696072817035</v>
      </c>
      <c r="Z27" s="40" t="s">
        <v>28</v>
      </c>
      <c r="AA27">
        <v>0.83</v>
      </c>
      <c r="AB27" s="46">
        <f t="shared" si="7"/>
        <v>17.856000000000002</v>
      </c>
      <c r="AC27">
        <f t="shared" si="27"/>
        <v>4</v>
      </c>
      <c r="AD27">
        <f t="shared" si="8"/>
        <v>60.273796561344646</v>
      </c>
      <c r="AE27">
        <f t="shared" si="33"/>
        <v>32.729625416971096</v>
      </c>
      <c r="AF27">
        <f t="shared" si="9"/>
        <v>937.05092235797713</v>
      </c>
      <c r="AH27" s="40" t="s">
        <v>29</v>
      </c>
      <c r="AI27">
        <v>0.67500000000000004</v>
      </c>
      <c r="AJ27" s="45">
        <f t="shared" si="34"/>
        <v>22.60535893706513</v>
      </c>
      <c r="AK27">
        <f t="shared" si="28"/>
        <v>16.000816527841334</v>
      </c>
      <c r="AL27">
        <f t="shared" si="10"/>
        <v>302.05007476161535</v>
      </c>
      <c r="AM27">
        <f t="shared" si="35"/>
        <v>32.729625416971096</v>
      </c>
      <c r="AN27">
        <f t="shared" si="11"/>
        <v>4695.8432569549977</v>
      </c>
      <c r="AP27" s="41" t="s">
        <v>23</v>
      </c>
      <c r="AQ27">
        <v>0.6</v>
      </c>
      <c r="AR27" s="46">
        <f t="shared" si="12"/>
        <v>23.436</v>
      </c>
      <c r="AS27">
        <f t="shared" si="29"/>
        <v>16.319642557476318</v>
      </c>
      <c r="AT27">
        <f t="shared" si="13"/>
        <v>294.51596560581584</v>
      </c>
      <c r="AU27">
        <f t="shared" si="36"/>
        <v>32.729625416971096</v>
      </c>
      <c r="AV27">
        <f t="shared" si="14"/>
        <v>4578.7136859580496</v>
      </c>
      <c r="AX27">
        <f>AX26+Calculations!$C$24</f>
        <v>4.1497866666666647</v>
      </c>
      <c r="AY27">
        <f t="shared" si="15"/>
        <v>15.229717066666659</v>
      </c>
      <c r="AZ27">
        <f t="shared" si="16"/>
        <v>71.260921658247568</v>
      </c>
      <c r="BA27">
        <f t="shared" si="17"/>
        <v>23.5161041472217</v>
      </c>
      <c r="BB27">
        <f t="shared" si="18"/>
        <v>94.777025805469265</v>
      </c>
      <c r="BC27">
        <f t="shared" si="19"/>
        <v>110.00674287213593</v>
      </c>
      <c r="BH27">
        <f t="shared" si="20"/>
        <v>196.37775250182656</v>
      </c>
      <c r="BI27">
        <f t="shared" si="21"/>
        <v>20.905121353452397</v>
      </c>
      <c r="BJ27">
        <f t="shared" si="22"/>
        <v>20.905121353452397</v>
      </c>
    </row>
    <row r="28" spans="1:62">
      <c r="A28" s="39">
        <v>21</v>
      </c>
      <c r="B28" s="40" t="s">
        <v>25</v>
      </c>
      <c r="C28">
        <v>0.54</v>
      </c>
      <c r="D28" s="45">
        <f t="shared" si="37"/>
        <v>24.287696645231712</v>
      </c>
      <c r="E28">
        <f t="shared" si="23"/>
        <v>16.639825679741538</v>
      </c>
      <c r="F28">
        <f t="shared" si="0"/>
        <v>290.36662151336645</v>
      </c>
      <c r="G28">
        <f t="shared" si="30"/>
        <v>32.565977289886241</v>
      </c>
      <c r="H28">
        <f t="shared" si="1"/>
        <v>4491.6345809240102</v>
      </c>
      <c r="J28" s="40" t="s">
        <v>26</v>
      </c>
      <c r="K28">
        <v>0.82699999999999996</v>
      </c>
      <c r="L28" s="46">
        <f t="shared" si="2"/>
        <v>23.436</v>
      </c>
      <c r="M28">
        <f t="shared" si="24"/>
        <v>10</v>
      </c>
      <c r="N28">
        <f t="shared" si="3"/>
        <v>249.7543221716756</v>
      </c>
      <c r="O28">
        <f t="shared" si="31"/>
        <v>32.565977289886241</v>
      </c>
      <c r="P28">
        <f t="shared" si="4"/>
        <v>3863.4094523495164</v>
      </c>
      <c r="R28" s="40" t="s">
        <v>27</v>
      </c>
      <c r="S28">
        <v>0.83399999999999996</v>
      </c>
      <c r="T28" s="45">
        <f t="shared" si="5"/>
        <v>16.209900000000001</v>
      </c>
      <c r="U28">
        <f t="shared" si="25"/>
        <v>8</v>
      </c>
      <c r="V28">
        <f t="shared" si="6"/>
        <v>98.623445779917333</v>
      </c>
      <c r="W28">
        <f t="shared" si="32"/>
        <v>32.565977289886241</v>
      </c>
      <c r="X28">
        <f t="shared" si="26"/>
        <v>1525.5902253715794</v>
      </c>
      <c r="Z28" s="40" t="s">
        <v>28</v>
      </c>
      <c r="AA28">
        <v>0.83</v>
      </c>
      <c r="AB28" s="46">
        <f t="shared" si="7"/>
        <v>18.748800000000003</v>
      </c>
      <c r="AC28">
        <f t="shared" si="27"/>
        <v>4</v>
      </c>
      <c r="AD28">
        <f t="shared" si="8"/>
        <v>66.296417333235027</v>
      </c>
      <c r="AE28">
        <f t="shared" si="33"/>
        <v>32.565977289886241</v>
      </c>
      <c r="AF28">
        <f t="shared" si="9"/>
        <v>1025.5286201056024</v>
      </c>
      <c r="AH28" s="40" t="s">
        <v>29</v>
      </c>
      <c r="AI28">
        <v>0.67500000000000004</v>
      </c>
      <c r="AJ28" s="45">
        <f t="shared" si="34"/>
        <v>23.074897912572649</v>
      </c>
      <c r="AK28">
        <f t="shared" si="28"/>
        <v>16.181855905790385</v>
      </c>
      <c r="AL28">
        <f t="shared" si="10"/>
        <v>317.88941195725431</v>
      </c>
      <c r="AM28">
        <f t="shared" si="35"/>
        <v>32.565977289886241</v>
      </c>
      <c r="AN28">
        <f t="shared" si="11"/>
        <v>4917.3802009852361</v>
      </c>
      <c r="AP28" s="41" t="s">
        <v>23</v>
      </c>
      <c r="AQ28">
        <v>0.6</v>
      </c>
      <c r="AR28" s="46">
        <f t="shared" si="12"/>
        <v>24.607800000000001</v>
      </c>
      <c r="AS28">
        <f t="shared" si="29"/>
        <v>16.758473396776001</v>
      </c>
      <c r="AT28">
        <f t="shared" si="13"/>
        <v>332.44330786434716</v>
      </c>
      <c r="AU28">
        <f t="shared" si="36"/>
        <v>32.565977289886241</v>
      </c>
      <c r="AV28">
        <f t="shared" si="14"/>
        <v>5142.5120766903701</v>
      </c>
      <c r="AX28">
        <f>AX27+Calculations!$C$24</f>
        <v>4.3572759999999979</v>
      </c>
      <c r="AY28">
        <f t="shared" si="15"/>
        <v>15.991202919999992</v>
      </c>
      <c r="AZ28">
        <f t="shared" si="16"/>
        <v>76.945422424084583</v>
      </c>
      <c r="BA28">
        <f t="shared" si="17"/>
        <v>25.391989399947914</v>
      </c>
      <c r="BB28">
        <f t="shared" si="18"/>
        <v>102.3374118240325</v>
      </c>
      <c r="BC28">
        <f t="shared" si="19"/>
        <v>118.32861474403249</v>
      </c>
      <c r="BH28">
        <f t="shared" si="20"/>
        <v>195.39586373931743</v>
      </c>
      <c r="BI28">
        <f t="shared" si="21"/>
        <v>21.727515759634063</v>
      </c>
      <c r="BJ28">
        <f t="shared" si="22"/>
        <v>21.727515759634059</v>
      </c>
    </row>
    <row r="29" spans="1:62">
      <c r="A29" s="39">
        <v>22</v>
      </c>
      <c r="B29" s="40" t="s">
        <v>25</v>
      </c>
      <c r="C29">
        <v>0.54</v>
      </c>
      <c r="D29" s="45">
        <f t="shared" si="37"/>
        <v>24.776186117007938</v>
      </c>
      <c r="E29">
        <f t="shared" si="23"/>
        <v>16.820525451076954</v>
      </c>
      <c r="F29">
        <f t="shared" si="0"/>
        <v>305.07459158995442</v>
      </c>
      <c r="G29">
        <f t="shared" si="30"/>
        <v>32.403147403436812</v>
      </c>
      <c r="H29">
        <f t="shared" si="1"/>
        <v>4695.5540561579746</v>
      </c>
      <c r="J29" s="40" t="s">
        <v>26</v>
      </c>
      <c r="K29">
        <v>0.82699999999999996</v>
      </c>
      <c r="L29" s="46">
        <f t="shared" si="2"/>
        <v>24.552</v>
      </c>
      <c r="M29">
        <f t="shared" si="24"/>
        <v>10</v>
      </c>
      <c r="N29">
        <f t="shared" si="3"/>
        <v>273.49539758862562</v>
      </c>
      <c r="O29">
        <f t="shared" si="31"/>
        <v>32.403147403436812</v>
      </c>
      <c r="P29">
        <f t="shared" si="4"/>
        <v>4209.5030490572517</v>
      </c>
      <c r="R29" s="40" t="s">
        <v>27</v>
      </c>
      <c r="S29">
        <v>0.83399999999999996</v>
      </c>
      <c r="T29" s="45">
        <f t="shared" si="5"/>
        <v>16.9818</v>
      </c>
      <c r="U29">
        <f t="shared" si="25"/>
        <v>8</v>
      </c>
      <c r="V29">
        <f t="shared" si="6"/>
        <v>107.99836527592912</v>
      </c>
      <c r="W29">
        <f t="shared" si="32"/>
        <v>32.403147403436812</v>
      </c>
      <c r="X29">
        <f t="shared" si="26"/>
        <v>1662.2563009489179</v>
      </c>
      <c r="Z29" s="40" t="s">
        <v>28</v>
      </c>
      <c r="AA29">
        <v>0.83</v>
      </c>
      <c r="AB29" s="46">
        <f t="shared" si="7"/>
        <v>19.6416</v>
      </c>
      <c r="AC29">
        <f t="shared" si="27"/>
        <v>4</v>
      </c>
      <c r="AD29">
        <f t="shared" si="8"/>
        <v>72.598403341308909</v>
      </c>
      <c r="AE29">
        <f t="shared" si="33"/>
        <v>32.403147403436812</v>
      </c>
      <c r="AF29">
        <f t="shared" si="9"/>
        <v>1117.3979632432313</v>
      </c>
      <c r="AH29" s="40" t="s">
        <v>29</v>
      </c>
      <c r="AI29">
        <v>0.67500000000000004</v>
      </c>
      <c r="AJ29" s="45">
        <f t="shared" si="34"/>
        <v>23.522589795837231</v>
      </c>
      <c r="AK29">
        <f t="shared" si="28"/>
        <v>16.352499870291144</v>
      </c>
      <c r="AL29">
        <f t="shared" si="10"/>
        <v>333.43613626620379</v>
      </c>
      <c r="AM29">
        <f t="shared" si="35"/>
        <v>32.403147403436812</v>
      </c>
      <c r="AN29">
        <f t="shared" si="11"/>
        <v>5132.0806297064655</v>
      </c>
      <c r="AP29" s="41" t="s">
        <v>23</v>
      </c>
      <c r="AQ29">
        <v>0.6</v>
      </c>
      <c r="AR29" s="46">
        <f t="shared" si="12"/>
        <v>25.779600000000002</v>
      </c>
      <c r="AS29">
        <f t="shared" si="29"/>
        <v>17.18527977959457</v>
      </c>
      <c r="AT29">
        <f t="shared" si="13"/>
        <v>373.09087354689774</v>
      </c>
      <c r="AU29">
        <f t="shared" si="36"/>
        <v>32.403147403436812</v>
      </c>
      <c r="AV29">
        <f t="shared" si="14"/>
        <v>5742.4263209481378</v>
      </c>
      <c r="AX29">
        <f>AX28+Calculations!$C$24</f>
        <v>4.5647653333333311</v>
      </c>
      <c r="AY29">
        <f t="shared" si="15"/>
        <v>16.752688773333325</v>
      </c>
      <c r="AZ29">
        <f t="shared" si="16"/>
        <v>82.79233123462744</v>
      </c>
      <c r="BA29">
        <f t="shared" si="17"/>
        <v>27.321469307427055</v>
      </c>
      <c r="BB29">
        <f t="shared" si="18"/>
        <v>110.11380054205449</v>
      </c>
      <c r="BC29">
        <f t="shared" si="19"/>
        <v>126.86648931538781</v>
      </c>
      <c r="BH29">
        <f t="shared" si="20"/>
        <v>194.41888442062086</v>
      </c>
      <c r="BI29">
        <f t="shared" si="21"/>
        <v>22.542295985474198</v>
      </c>
      <c r="BJ29">
        <f t="shared" si="22"/>
        <v>22.542295985474198</v>
      </c>
    </row>
    <row r="30" spans="1:62">
      <c r="A30" s="39">
        <v>23</v>
      </c>
      <c r="B30" s="40" t="s">
        <v>25</v>
      </c>
      <c r="C30">
        <v>0.54</v>
      </c>
      <c r="D30" s="45">
        <f t="shared" si="37"/>
        <v>25.24295762861211</v>
      </c>
      <c r="E30">
        <f t="shared" si="23"/>
        <v>16.991258385531776</v>
      </c>
      <c r="F30">
        <f t="shared" si="0"/>
        <v>319.52824213951317</v>
      </c>
      <c r="G30">
        <f t="shared" si="30"/>
        <v>32.241131666419626</v>
      </c>
      <c r="H30">
        <f t="shared" si="1"/>
        <v>4893.4272598308371</v>
      </c>
      <c r="J30" s="40" t="s">
        <v>26</v>
      </c>
      <c r="K30">
        <v>0.82699999999999996</v>
      </c>
      <c r="L30" s="46">
        <f t="shared" si="2"/>
        <v>25.667999999999999</v>
      </c>
      <c r="M30">
        <f t="shared" si="24"/>
        <v>10</v>
      </c>
      <c r="N30">
        <f t="shared" si="3"/>
        <v>298.28655977239299</v>
      </c>
      <c r="O30">
        <f t="shared" si="31"/>
        <v>32.241131666419626</v>
      </c>
      <c r="P30">
        <f t="shared" si="4"/>
        <v>4568.1207177739079</v>
      </c>
      <c r="R30" s="40" t="s">
        <v>27</v>
      </c>
      <c r="S30">
        <v>0.83399999999999996</v>
      </c>
      <c r="T30" s="45">
        <f t="shared" si="5"/>
        <v>17.753700000000002</v>
      </c>
      <c r="U30">
        <f t="shared" si="25"/>
        <v>8</v>
      </c>
      <c r="V30">
        <f t="shared" si="6"/>
        <v>117.78794496444922</v>
      </c>
      <c r="W30">
        <f t="shared" si="32"/>
        <v>32.241131666419626</v>
      </c>
      <c r="X30">
        <f t="shared" si="26"/>
        <v>1803.8679051000031</v>
      </c>
      <c r="Z30" s="40" t="s">
        <v>28</v>
      </c>
      <c r="AA30">
        <v>0.83</v>
      </c>
      <c r="AB30" s="46">
        <f t="shared" si="7"/>
        <v>20.534399999999998</v>
      </c>
      <c r="AC30">
        <f t="shared" si="27"/>
        <v>4</v>
      </c>
      <c r="AD30">
        <f t="shared" si="8"/>
        <v>79.179131234302901</v>
      </c>
      <c r="AE30">
        <f t="shared" si="33"/>
        <v>32.241131666419626</v>
      </c>
      <c r="AF30">
        <f t="shared" si="9"/>
        <v>1212.5917777949921</v>
      </c>
      <c r="AH30" s="40" t="s">
        <v>29</v>
      </c>
      <c r="AI30">
        <v>0.67500000000000004</v>
      </c>
      <c r="AJ30" s="45">
        <f t="shared" si="34"/>
        <v>23.95037755618441</v>
      </c>
      <c r="AK30">
        <f t="shared" si="28"/>
        <v>16.513807669233465</v>
      </c>
      <c r="AL30">
        <f t="shared" si="10"/>
        <v>348.70017877962732</v>
      </c>
      <c r="AM30">
        <f t="shared" si="35"/>
        <v>32.241131666419626</v>
      </c>
      <c r="AN30">
        <f t="shared" si="11"/>
        <v>5340.1819786655633</v>
      </c>
      <c r="AP30" s="41" t="s">
        <v>23</v>
      </c>
      <c r="AQ30">
        <v>0.6</v>
      </c>
      <c r="AR30" s="46">
        <f t="shared" si="12"/>
        <v>26.951400000000003</v>
      </c>
      <c r="AS30">
        <f t="shared" si="29"/>
        <v>17.600842444347176</v>
      </c>
      <c r="AT30">
        <f t="shared" si="13"/>
        <v>416.51063267766847</v>
      </c>
      <c r="AU30">
        <f t="shared" si="36"/>
        <v>32.241131666419626</v>
      </c>
      <c r="AV30">
        <f t="shared" si="14"/>
        <v>6378.6677205966134</v>
      </c>
      <c r="AX30">
        <f>AX29+Calculations!$C$24</f>
        <v>4.7722546666666643</v>
      </c>
      <c r="AY30">
        <f t="shared" si="15"/>
        <v>17.514174626666659</v>
      </c>
      <c r="AZ30">
        <f t="shared" si="16"/>
        <v>88.802466510326241</v>
      </c>
      <c r="BA30">
        <f t="shared" si="17"/>
        <v>29.304813948407659</v>
      </c>
      <c r="BB30">
        <f t="shared" si="18"/>
        <v>118.1072804587339</v>
      </c>
      <c r="BC30">
        <f t="shared" si="19"/>
        <v>135.62145508540056</v>
      </c>
      <c r="BH30">
        <f t="shared" si="20"/>
        <v>193.44678999851774</v>
      </c>
      <c r="BI30">
        <f t="shared" si="21"/>
        <v>23.350139197466088</v>
      </c>
      <c r="BJ30">
        <f t="shared" si="22"/>
        <v>23.350139197466095</v>
      </c>
    </row>
    <row r="31" spans="1:62">
      <c r="A31" s="39">
        <v>24</v>
      </c>
      <c r="B31" s="40" t="s">
        <v>25</v>
      </c>
      <c r="C31">
        <v>0.54</v>
      </c>
      <c r="D31" s="45">
        <f t="shared" si="37"/>
        <v>25.689860392566548</v>
      </c>
      <c r="E31">
        <f t="shared" si="23"/>
        <v>17.153000747259977</v>
      </c>
      <c r="F31">
        <f t="shared" si="0"/>
        <v>333.73537448759299</v>
      </c>
      <c r="G31">
        <f t="shared" si="30"/>
        <v>32.079926008087526</v>
      </c>
      <c r="H31">
        <f t="shared" si="1"/>
        <v>5085.4479069255976</v>
      </c>
      <c r="J31" s="40" t="s">
        <v>26</v>
      </c>
      <c r="K31">
        <v>0.82699999999999996</v>
      </c>
      <c r="L31" s="46">
        <f t="shared" si="2"/>
        <v>26.783999999999999</v>
      </c>
      <c r="M31">
        <f t="shared" si="24"/>
        <v>10</v>
      </c>
      <c r="N31">
        <f t="shared" si="3"/>
        <v>324.12556978497622</v>
      </c>
      <c r="O31">
        <f t="shared" si="31"/>
        <v>32.079926008087526</v>
      </c>
      <c r="P31">
        <f t="shared" si="4"/>
        <v>4939.0140406148421</v>
      </c>
      <c r="R31" s="40" t="s">
        <v>27</v>
      </c>
      <c r="S31">
        <v>0.83399999999999996</v>
      </c>
      <c r="T31" s="45">
        <f t="shared" si="5"/>
        <v>18.525600000000001</v>
      </c>
      <c r="U31">
        <f t="shared" si="25"/>
        <v>8</v>
      </c>
      <c r="V31">
        <f t="shared" si="6"/>
        <v>127.99130072952413</v>
      </c>
      <c r="W31">
        <f t="shared" si="32"/>
        <v>32.079926008087526</v>
      </c>
      <c r="X31">
        <f t="shared" si="26"/>
        <v>1950.326942113956</v>
      </c>
      <c r="Z31" s="40" t="s">
        <v>28</v>
      </c>
      <c r="AA31">
        <v>0.83</v>
      </c>
      <c r="AB31" s="46">
        <f t="shared" si="7"/>
        <v>21.427199999999999</v>
      </c>
      <c r="AC31">
        <f t="shared" si="27"/>
        <v>4</v>
      </c>
      <c r="AD31">
        <f t="shared" si="8"/>
        <v>86.038006693901039</v>
      </c>
      <c r="AE31">
        <f t="shared" si="33"/>
        <v>32.079926008087526</v>
      </c>
      <c r="AF31">
        <f t="shared" si="9"/>
        <v>1311.0441220962502</v>
      </c>
      <c r="AH31" s="40" t="s">
        <v>29</v>
      </c>
      <c r="AI31">
        <v>0.67500000000000004</v>
      </c>
      <c r="AJ31" s="45">
        <f t="shared" si="34"/>
        <v>24.359955963889707</v>
      </c>
      <c r="AK31">
        <f t="shared" si="28"/>
        <v>16.666688155854548</v>
      </c>
      <c r="AL31">
        <f t="shared" si="10"/>
        <v>363.69137219079721</v>
      </c>
      <c r="AM31">
        <f t="shared" si="35"/>
        <v>32.079926008087526</v>
      </c>
      <c r="AN31">
        <f t="shared" si="11"/>
        <v>5541.9163470887825</v>
      </c>
      <c r="AP31" s="41" t="s">
        <v>23</v>
      </c>
      <c r="AQ31">
        <v>0.6</v>
      </c>
      <c r="AR31" s="46">
        <f t="shared" si="12"/>
        <v>28.123200000000004</v>
      </c>
      <c r="AS31">
        <f t="shared" si="29"/>
        <v>18.005862043401031</v>
      </c>
      <c r="AT31">
        <f t="shared" si="13"/>
        <v>462.75277565032161</v>
      </c>
      <c r="AU31">
        <f t="shared" si="36"/>
        <v>32.079926008087526</v>
      </c>
      <c r="AV31">
        <f t="shared" si="14"/>
        <v>7051.4105313772352</v>
      </c>
      <c r="AX31">
        <f>AX30+Calculations!$C$24</f>
        <v>4.9797439999999975</v>
      </c>
      <c r="AY31">
        <f t="shared" si="15"/>
        <v>18.275660479999992</v>
      </c>
      <c r="AZ31">
        <f t="shared" si="16"/>
        <v>94.976516797095144</v>
      </c>
      <c r="BA31">
        <f t="shared" si="17"/>
        <v>31.342250543041398</v>
      </c>
      <c r="BB31">
        <f t="shared" si="18"/>
        <v>126.31876734013655</v>
      </c>
      <c r="BC31">
        <f t="shared" si="19"/>
        <v>144.59442782013653</v>
      </c>
      <c r="BH31">
        <f t="shared" si="20"/>
        <v>192.47955604852513</v>
      </c>
      <c r="BI31">
        <f t="shared" si="21"/>
        <v>24.151636059409373</v>
      </c>
      <c r="BJ31">
        <f t="shared" si="22"/>
        <v>24.15163605940938</v>
      </c>
    </row>
    <row r="32" spans="1:62">
      <c r="A32" s="39">
        <v>25</v>
      </c>
      <c r="B32" s="40" t="s">
        <v>25</v>
      </c>
      <c r="C32">
        <v>0.54</v>
      </c>
      <c r="D32" s="45">
        <f t="shared" si="37"/>
        <v>26.118517052885775</v>
      </c>
      <c r="E32">
        <f t="shared" si="23"/>
        <v>17.3065953810524</v>
      </c>
      <c r="F32">
        <f t="shared" si="0"/>
        <v>347.70379927599828</v>
      </c>
      <c r="G32">
        <f t="shared" si="30"/>
        <v>31.919526378047088</v>
      </c>
      <c r="H32">
        <f t="shared" si="1"/>
        <v>5271.8067815502727</v>
      </c>
      <c r="J32" s="40" t="s">
        <v>26</v>
      </c>
      <c r="K32">
        <v>0.82699999999999996</v>
      </c>
      <c r="L32" s="46">
        <f t="shared" si="2"/>
        <v>27.900000000000002</v>
      </c>
      <c r="M32">
        <f t="shared" si="24"/>
        <v>10</v>
      </c>
      <c r="N32">
        <f t="shared" si="3"/>
        <v>351.01028852672175</v>
      </c>
      <c r="O32">
        <f t="shared" si="31"/>
        <v>31.919526378047088</v>
      </c>
      <c r="P32">
        <f t="shared" si="4"/>
        <v>5321.9390277074417</v>
      </c>
      <c r="R32" s="40" t="s">
        <v>27</v>
      </c>
      <c r="S32">
        <v>0.83399999999999996</v>
      </c>
      <c r="T32" s="45">
        <f t="shared" si="5"/>
        <v>19.297499999999999</v>
      </c>
      <c r="U32">
        <f t="shared" si="25"/>
        <v>8</v>
      </c>
      <c r="V32">
        <f t="shared" si="6"/>
        <v>138.60758787955101</v>
      </c>
      <c r="W32">
        <f t="shared" si="32"/>
        <v>31.919526378047088</v>
      </c>
      <c r="X32">
        <f t="shared" si="26"/>
        <v>2101.5370648214339</v>
      </c>
      <c r="Z32" s="40" t="s">
        <v>28</v>
      </c>
      <c r="AA32">
        <v>0.83</v>
      </c>
      <c r="AB32" s="46">
        <f t="shared" si="7"/>
        <v>22.32</v>
      </c>
      <c r="AC32">
        <f t="shared" si="27"/>
        <v>4</v>
      </c>
      <c r="AD32">
        <f t="shared" si="8"/>
        <v>93.174461903529988</v>
      </c>
      <c r="AE32">
        <f t="shared" si="33"/>
        <v>31.919526378047088</v>
      </c>
      <c r="AF32">
        <f t="shared" si="9"/>
        <v>1412.6902298827827</v>
      </c>
      <c r="AH32" s="40" t="s">
        <v>29</v>
      </c>
      <c r="AI32">
        <v>0.67500000000000004</v>
      </c>
      <c r="AJ32" s="45">
        <f t="shared" si="34"/>
        <v>24.752812143234614</v>
      </c>
      <c r="AK32">
        <f t="shared" si="28"/>
        <v>16.811926637380438</v>
      </c>
      <c r="AL32">
        <f t="shared" si="10"/>
        <v>378.41934227524661</v>
      </c>
      <c r="AM32">
        <f t="shared" si="35"/>
        <v>31.919526378047088</v>
      </c>
      <c r="AN32">
        <f t="shared" si="11"/>
        <v>5737.5089344160333</v>
      </c>
      <c r="AP32" s="41" t="s">
        <v>23</v>
      </c>
      <c r="AQ32">
        <v>0.6</v>
      </c>
      <c r="AR32" s="46">
        <f t="shared" si="12"/>
        <v>29.295000000000002</v>
      </c>
      <c r="AS32">
        <f t="shared" si="29"/>
        <v>18.400970207893788</v>
      </c>
      <c r="AT32">
        <f t="shared" si="13"/>
        <v>511.86583845315869</v>
      </c>
      <c r="AU32">
        <f t="shared" si="36"/>
        <v>31.919526378047088</v>
      </c>
      <c r="AV32">
        <f t="shared" si="14"/>
        <v>7760.7946879502242</v>
      </c>
      <c r="AX32">
        <f>AX31+Calculations!$C$24</f>
        <v>5.1872333333333307</v>
      </c>
      <c r="AY32">
        <f t="shared" si="15"/>
        <v>19.037146333333322</v>
      </c>
      <c r="AZ32">
        <f t="shared" si="16"/>
        <v>101.31503558562446</v>
      </c>
      <c r="BA32">
        <f t="shared" si="17"/>
        <v>33.43396174325607</v>
      </c>
      <c r="BB32">
        <f t="shared" si="18"/>
        <v>134.74899732888053</v>
      </c>
      <c r="BC32">
        <f t="shared" si="19"/>
        <v>153.78614366221385</v>
      </c>
      <c r="BH32">
        <f t="shared" si="20"/>
        <v>191.51715826828254</v>
      </c>
      <c r="BI32">
        <f t="shared" si="21"/>
        <v>24.947304866020062</v>
      </c>
      <c r="BJ32">
        <f t="shared" si="22"/>
        <v>24.947304866020062</v>
      </c>
    </row>
    <row r="33" spans="1:62">
      <c r="A33" s="39">
        <v>26</v>
      </c>
      <c r="B33" s="40" t="s">
        <v>25</v>
      </c>
      <c r="C33">
        <v>0.54</v>
      </c>
      <c r="D33" s="45">
        <f t="shared" si="37"/>
        <v>26.530359250044516</v>
      </c>
      <c r="E33">
        <f t="shared" si="23"/>
        <v>17.452774669749278</v>
      </c>
      <c r="F33">
        <f t="shared" si="0"/>
        <v>361.44123646386686</v>
      </c>
      <c r="G33">
        <f t="shared" si="30"/>
        <v>31.759928746156852</v>
      </c>
      <c r="H33">
        <f t="shared" si="1"/>
        <v>5452.6902601072397</v>
      </c>
      <c r="J33" s="40" t="s">
        <v>26</v>
      </c>
      <c r="K33">
        <v>0.82699999999999996</v>
      </c>
      <c r="L33" s="46">
        <f t="shared" si="2"/>
        <v>29.016000000000002</v>
      </c>
      <c r="M33">
        <f t="shared" si="24"/>
        <v>10</v>
      </c>
      <c r="N33">
        <f t="shared" si="3"/>
        <v>378.93866838793258</v>
      </c>
      <c r="O33">
        <f t="shared" si="31"/>
        <v>31.759928746156852</v>
      </c>
      <c r="P33">
        <f t="shared" si="4"/>
        <v>5716.6559259030419</v>
      </c>
      <c r="R33" s="40" t="s">
        <v>27</v>
      </c>
      <c r="S33">
        <v>0.83399999999999996</v>
      </c>
      <c r="T33" s="45">
        <f t="shared" si="5"/>
        <v>20.069399999999998</v>
      </c>
      <c r="U33">
        <f t="shared" si="25"/>
        <v>8</v>
      </c>
      <c r="V33">
        <f t="shared" si="6"/>
        <v>149.63599785064937</v>
      </c>
      <c r="W33">
        <f t="shared" si="32"/>
        <v>31.759928746156852</v>
      </c>
      <c r="X33">
        <f t="shared" si="26"/>
        <v>2257.4035990584343</v>
      </c>
      <c r="Z33" s="40" t="s">
        <v>28</v>
      </c>
      <c r="AA33">
        <v>0.83</v>
      </c>
      <c r="AB33" s="46">
        <f t="shared" si="7"/>
        <v>23.212800000000001</v>
      </c>
      <c r="AC33">
        <f t="shared" si="27"/>
        <v>4</v>
      </c>
      <c r="AD33">
        <f t="shared" si="8"/>
        <v>100.58795333230778</v>
      </c>
      <c r="AE33">
        <f t="shared" si="33"/>
        <v>31.759928746156852</v>
      </c>
      <c r="AF33">
        <f t="shared" si="9"/>
        <v>1517.4664595140266</v>
      </c>
      <c r="AH33" s="40" t="s">
        <v>29</v>
      </c>
      <c r="AI33">
        <v>0.67500000000000004</v>
      </c>
      <c r="AJ33" s="45">
        <f t="shared" si="34"/>
        <v>25.13025816716506</v>
      </c>
      <c r="AK33">
        <f t="shared" si="28"/>
        <v>16.950206030958984</v>
      </c>
      <c r="AL33">
        <f t="shared" si="10"/>
        <v>392.89343779698783</v>
      </c>
      <c r="AM33">
        <f t="shared" si="35"/>
        <v>31.759928746156852</v>
      </c>
      <c r="AN33">
        <f t="shared" si="11"/>
        <v>5927.1771049008476</v>
      </c>
      <c r="AP33" s="41" t="s">
        <v>23</v>
      </c>
      <c r="AQ33">
        <v>0.6</v>
      </c>
      <c r="AR33" s="46">
        <f t="shared" si="12"/>
        <v>30.466799999999999</v>
      </c>
      <c r="AS33">
        <f t="shared" si="29"/>
        <v>18.786738716022015</v>
      </c>
      <c r="AT33">
        <f t="shared" si="13"/>
        <v>563.89681457649795</v>
      </c>
      <c r="AU33">
        <f t="shared" si="36"/>
        <v>31.759928746156852</v>
      </c>
      <c r="AV33">
        <f t="shared" si="14"/>
        <v>8506.9282592888376</v>
      </c>
      <c r="AX33">
        <f>AX32+Calculations!$C$24</f>
        <v>5.3947226666666639</v>
      </c>
      <c r="AY33">
        <f t="shared" si="15"/>
        <v>19.798632186666655</v>
      </c>
      <c r="AZ33">
        <f t="shared" si="16"/>
        <v>107.81844030419479</v>
      </c>
      <c r="BA33">
        <f t="shared" si="17"/>
        <v>35.580085300384283</v>
      </c>
      <c r="BB33">
        <f t="shared" si="18"/>
        <v>143.39852560457908</v>
      </c>
      <c r="BC33">
        <f t="shared" si="19"/>
        <v>163.19715779124573</v>
      </c>
      <c r="BH33">
        <f t="shared" si="20"/>
        <v>190.5595724769411</v>
      </c>
      <c r="BI33">
        <f t="shared" si="21"/>
        <v>25.737602902868264</v>
      </c>
      <c r="BJ33">
        <f t="shared" si="22"/>
        <v>25.737602902868261</v>
      </c>
    </row>
    <row r="34" spans="1:62">
      <c r="A34" s="39">
        <v>27</v>
      </c>
      <c r="B34" s="40" t="s">
        <v>25</v>
      </c>
      <c r="C34">
        <v>0.54</v>
      </c>
      <c r="D34" s="45">
        <f t="shared" si="37"/>
        <v>26.926656470271041</v>
      </c>
      <c r="E34">
        <f t="shared" si="23"/>
        <v>17.592178793582946</v>
      </c>
      <c r="F34">
        <f t="shared" si="0"/>
        <v>374.9552472098822</v>
      </c>
      <c r="G34">
        <f t="shared" si="30"/>
        <v>31.601129102426068</v>
      </c>
      <c r="H34">
        <f t="shared" si="1"/>
        <v>5628.2793579879954</v>
      </c>
      <c r="J34" s="40" t="s">
        <v>26</v>
      </c>
      <c r="K34">
        <v>0.82699999999999996</v>
      </c>
      <c r="L34" s="46">
        <f t="shared" si="2"/>
        <v>30.132000000000001</v>
      </c>
      <c r="M34">
        <f t="shared" si="24"/>
        <v>10</v>
      </c>
      <c r="N34">
        <f t="shared" si="3"/>
        <v>407.90874589904587</v>
      </c>
      <c r="O34">
        <f t="shared" si="31"/>
        <v>31.601129102426068</v>
      </c>
      <c r="P34">
        <f t="shared" si="4"/>
        <v>6122.9290470531178</v>
      </c>
      <c r="R34" s="40" t="s">
        <v>27</v>
      </c>
      <c r="S34">
        <v>0.83399999999999996</v>
      </c>
      <c r="T34" s="45">
        <f t="shared" si="5"/>
        <v>20.8413</v>
      </c>
      <c r="U34">
        <f t="shared" si="25"/>
        <v>8</v>
      </c>
      <c r="V34">
        <f t="shared" si="6"/>
        <v>161.07575530434991</v>
      </c>
      <c r="W34">
        <f t="shared" si="32"/>
        <v>31.601129102426068</v>
      </c>
      <c r="X34">
        <f t="shared" si="26"/>
        <v>2417.8334758556871</v>
      </c>
      <c r="Z34" s="40" t="s">
        <v>28</v>
      </c>
      <c r="AA34">
        <v>0.83</v>
      </c>
      <c r="AB34" s="46">
        <f t="shared" si="7"/>
        <v>24.105599999999999</v>
      </c>
      <c r="AC34">
        <f t="shared" si="27"/>
        <v>4</v>
      </c>
      <c r="AD34">
        <f t="shared" si="8"/>
        <v>108.27795978405895</v>
      </c>
      <c r="AE34">
        <f t="shared" si="33"/>
        <v>31.601129102426068</v>
      </c>
      <c r="AF34">
        <f t="shared" si="9"/>
        <v>1625.3102483895887</v>
      </c>
      <c r="AH34" s="40" t="s">
        <v>29</v>
      </c>
      <c r="AI34">
        <v>0.67500000000000004</v>
      </c>
      <c r="AJ34" s="45">
        <f t="shared" si="34"/>
        <v>25.493457497153905</v>
      </c>
      <c r="AK34">
        <f t="shared" si="28"/>
        <v>17.082123709627528</v>
      </c>
      <c r="AL34">
        <f t="shared" si="10"/>
        <v>407.12268729084104</v>
      </c>
      <c r="AM34">
        <f t="shared" si="35"/>
        <v>31.601129102426068</v>
      </c>
      <c r="AN34">
        <f t="shared" si="11"/>
        <v>6111.1298857621396</v>
      </c>
      <c r="AP34" s="41" t="s">
        <v>23</v>
      </c>
      <c r="AQ34">
        <v>0.6</v>
      </c>
      <c r="AR34" s="46">
        <f t="shared" si="12"/>
        <v>31.638600000000004</v>
      </c>
      <c r="AS34">
        <f t="shared" si="29"/>
        <v>19.163687148605575</v>
      </c>
      <c r="AT34">
        <f t="shared" si="13"/>
        <v>618.89125547232186</v>
      </c>
      <c r="AU34">
        <f t="shared" si="36"/>
        <v>31.601129102426068</v>
      </c>
      <c r="AV34">
        <f t="shared" si="14"/>
        <v>9289.8896706581145</v>
      </c>
      <c r="AX34">
        <f>AX33+Calculations!$C$24</f>
        <v>5.6022119999999971</v>
      </c>
      <c r="AY34">
        <f t="shared" si="15"/>
        <v>20.560118039999988</v>
      </c>
      <c r="AZ34">
        <f t="shared" si="16"/>
        <v>114.48701408654338</v>
      </c>
      <c r="BA34">
        <f t="shared" si="17"/>
        <v>37.780714648559318</v>
      </c>
      <c r="BB34">
        <f t="shared" si="18"/>
        <v>152.26772873510271</v>
      </c>
      <c r="BC34">
        <f t="shared" si="19"/>
        <v>172.8278467751027</v>
      </c>
      <c r="BH34">
        <f t="shared" si="20"/>
        <v>189.6067746145564</v>
      </c>
      <c r="BI34">
        <f t="shared" si="21"/>
        <v>26.522935661237494</v>
      </c>
      <c r="BJ34">
        <f t="shared" si="22"/>
        <v>26.522935661237494</v>
      </c>
    </row>
    <row r="35" spans="1:62">
      <c r="A35" s="39">
        <v>28</v>
      </c>
      <c r="B35" s="40" t="s">
        <v>25</v>
      </c>
      <c r="C35">
        <v>0.54</v>
      </c>
      <c r="D35" s="45">
        <f t="shared" si="37"/>
        <v>27.308539645681048</v>
      </c>
      <c r="E35">
        <f t="shared" si="23"/>
        <v>17.725370394263798</v>
      </c>
      <c r="F35">
        <f t="shared" si="0"/>
        <v>388.25318860374381</v>
      </c>
      <c r="G35">
        <f t="shared" si="30"/>
        <v>31.443123456913938</v>
      </c>
      <c r="H35">
        <f t="shared" si="1"/>
        <v>5798.7491473588034</v>
      </c>
      <c r="J35" s="40" t="s">
        <v>26</v>
      </c>
      <c r="K35">
        <v>0.82699999999999996</v>
      </c>
      <c r="L35" s="46">
        <f t="shared" si="2"/>
        <v>31.248000000000005</v>
      </c>
      <c r="M35">
        <f t="shared" si="24"/>
        <v>10</v>
      </c>
      <c r="N35">
        <f t="shared" si="3"/>
        <v>437.91863522668888</v>
      </c>
      <c r="O35">
        <f t="shared" si="31"/>
        <v>31.443123456913938</v>
      </c>
      <c r="P35">
        <f t="shared" si="4"/>
        <v>6540.5266129701185</v>
      </c>
      <c r="R35" s="40" t="s">
        <v>27</v>
      </c>
      <c r="S35">
        <v>0.83399999999999996</v>
      </c>
      <c r="T35" s="45">
        <f t="shared" si="5"/>
        <v>21.613199999999999</v>
      </c>
      <c r="U35">
        <f t="shared" si="25"/>
        <v>8</v>
      </c>
      <c r="V35">
        <f t="shared" si="6"/>
        <v>172.92611555930341</v>
      </c>
      <c r="W35">
        <f t="shared" si="32"/>
        <v>31.443123456913938</v>
      </c>
      <c r="X35">
        <f t="shared" si="26"/>
        <v>2582.7351702164779</v>
      </c>
      <c r="Z35" s="40" t="s">
        <v>28</v>
      </c>
      <c r="AA35">
        <v>0.83</v>
      </c>
      <c r="AB35" s="46">
        <f t="shared" si="7"/>
        <v>24.9984</v>
      </c>
      <c r="AC35">
        <f t="shared" si="27"/>
        <v>4</v>
      </c>
      <c r="AD35">
        <f t="shared" si="8"/>
        <v>116.24398067086493</v>
      </c>
      <c r="AE35">
        <f t="shared" si="33"/>
        <v>31.443123456913938</v>
      </c>
      <c r="AF35">
        <f t="shared" si="9"/>
        <v>1736.1600717946335</v>
      </c>
      <c r="AH35" s="40" t="s">
        <v>29</v>
      </c>
      <c r="AI35">
        <v>0.67500000000000004</v>
      </c>
      <c r="AJ35" s="45">
        <f t="shared" si="34"/>
        <v>25.8434466123025</v>
      </c>
      <c r="AK35">
        <f t="shared" si="28"/>
        <v>17.208205045730043</v>
      </c>
      <c r="AL35">
        <f t="shared" si="10"/>
        <v>421.11577465904418</v>
      </c>
      <c r="AM35">
        <f t="shared" si="35"/>
        <v>31.443123456913938</v>
      </c>
      <c r="AN35">
        <f t="shared" si="11"/>
        <v>6289.5677638226816</v>
      </c>
      <c r="AP35" s="41" t="s">
        <v>23</v>
      </c>
      <c r="AQ35">
        <v>0.6</v>
      </c>
      <c r="AR35" s="46">
        <f t="shared" si="12"/>
        <v>32.810400000000001</v>
      </c>
      <c r="AS35">
        <f t="shared" si="29"/>
        <v>19.532289326984209</v>
      </c>
      <c r="AT35">
        <f>0.0673*(AQ35*AR35^2*AS35)^0.976</f>
        <v>676.89336111397472</v>
      </c>
      <c r="AU35">
        <f t="shared" si="36"/>
        <v>31.443123456913938</v>
      </c>
      <c r="AV35">
        <f t="shared" si="14"/>
        <v>10109.729722319264</v>
      </c>
      <c r="AX35">
        <f>AX34+Calculations!$C$24</f>
        <v>5.8097013333333303</v>
      </c>
      <c r="AY35">
        <f t="shared" si="15"/>
        <v>21.321603893333322</v>
      </c>
      <c r="AZ35">
        <f t="shared" si="16"/>
        <v>121.32090935272886</v>
      </c>
      <c r="BA35">
        <f t="shared" si="17"/>
        <v>40.035900086400524</v>
      </c>
      <c r="BB35">
        <f t="shared" si="18"/>
        <v>161.35680943912939</v>
      </c>
      <c r="BC35">
        <f t="shared" si="19"/>
        <v>182.67841333246272</v>
      </c>
      <c r="BH35">
        <f t="shared" si="20"/>
        <v>188.65874074148365</v>
      </c>
      <c r="BI35">
        <f t="shared" si="21"/>
        <v>27.303664376330591</v>
      </c>
      <c r="BJ35">
        <f t="shared" si="22"/>
        <v>27.303664376330588</v>
      </c>
    </row>
    <row r="36" spans="1:62">
      <c r="A36" s="39">
        <v>29</v>
      </c>
      <c r="B36" s="40" t="s">
        <v>25</v>
      </c>
      <c r="C36">
        <v>0.54</v>
      </c>
      <c r="D36" s="45">
        <f t="shared" si="37"/>
        <v>27.677020611230869</v>
      </c>
      <c r="E36">
        <f t="shared" si="23"/>
        <v>17.852846456980302</v>
      </c>
      <c r="F36">
        <f t="shared" si="0"/>
        <v>401.34218481673042</v>
      </c>
      <c r="G36">
        <f t="shared" si="30"/>
        <v>31.285907839629367</v>
      </c>
      <c r="H36">
        <f t="shared" si="1"/>
        <v>5964.2684380075689</v>
      </c>
      <c r="J36" s="40" t="s">
        <v>26</v>
      </c>
      <c r="K36">
        <v>0.82699999999999996</v>
      </c>
      <c r="L36" s="46">
        <f t="shared" si="2"/>
        <v>32.363999999999997</v>
      </c>
      <c r="M36">
        <f t="shared" si="24"/>
        <v>10</v>
      </c>
      <c r="N36">
        <f t="shared" si="3"/>
        <v>468.96652239098324</v>
      </c>
      <c r="O36">
        <f t="shared" si="31"/>
        <v>31.285907839629367</v>
      </c>
      <c r="P36">
        <f t="shared" si="4"/>
        <v>6969.2206147129964</v>
      </c>
      <c r="R36" s="40" t="s">
        <v>27</v>
      </c>
      <c r="S36">
        <v>0.83399999999999996</v>
      </c>
      <c r="T36" s="45">
        <f t="shared" si="5"/>
        <v>22.385100000000001</v>
      </c>
      <c r="U36">
        <f t="shared" si="25"/>
        <v>8</v>
      </c>
      <c r="V36">
        <f t="shared" si="6"/>
        <v>185.18636230780257</v>
      </c>
      <c r="W36">
        <f t="shared" si="32"/>
        <v>31.285907839629367</v>
      </c>
      <c r="X36">
        <f t="shared" si="26"/>
        <v>2752.0186455511089</v>
      </c>
      <c r="Z36" s="40" t="s">
        <v>28</v>
      </c>
      <c r="AA36">
        <v>0.83</v>
      </c>
      <c r="AB36" s="46">
        <f t="shared" si="7"/>
        <v>25.891200000000001</v>
      </c>
      <c r="AC36">
        <f t="shared" si="27"/>
        <v>4</v>
      </c>
      <c r="AD36">
        <f t="shared" si="8"/>
        <v>124.48553447806752</v>
      </c>
      <c r="AE36">
        <f t="shared" si="33"/>
        <v>31.285907839629367</v>
      </c>
      <c r="AF36">
        <f t="shared" si="9"/>
        <v>1849.9554055477167</v>
      </c>
      <c r="AH36" s="40" t="s">
        <v>29</v>
      </c>
      <c r="AI36">
        <v>0.67500000000000004</v>
      </c>
      <c r="AJ36" s="45">
        <f t="shared" si="34"/>
        <v>26.181152841291034</v>
      </c>
      <c r="AK36">
        <f t="shared" si="28"/>
        <v>17.328914395684489</v>
      </c>
      <c r="AL36">
        <f t="shared" si="10"/>
        <v>434.88102791072072</v>
      </c>
      <c r="AM36">
        <f t="shared" si="35"/>
        <v>31.285907839629367</v>
      </c>
      <c r="AN36">
        <f t="shared" si="11"/>
        <v>6462.6826861985946</v>
      </c>
      <c r="AP36" s="41" t="s">
        <v>23</v>
      </c>
      <c r="AQ36">
        <v>0.6</v>
      </c>
      <c r="AR36" s="46">
        <f t="shared" si="12"/>
        <v>33.982199999999999</v>
      </c>
      <c r="AS36">
        <f t="shared" si="29"/>
        <v>19.892978762466079</v>
      </c>
      <c r="AT36">
        <f t="shared" si="13"/>
        <v>737.94606194658684</v>
      </c>
      <c r="AU36">
        <f t="shared" si="36"/>
        <v>31.285907839629367</v>
      </c>
      <c r="AV36">
        <f t="shared" si="14"/>
        <v>10966.473430222211</v>
      </c>
      <c r="AX36">
        <f>AX35+Calculations!$C$24</f>
        <v>6.0171906666666635</v>
      </c>
      <c r="AY36">
        <f t="shared" si="15"/>
        <v>22.083089746666655</v>
      </c>
      <c r="AZ36">
        <f t="shared" si="16"/>
        <v>128.32015253828152</v>
      </c>
      <c r="BA36">
        <f t="shared" si="17"/>
        <v>42.345650337632904</v>
      </c>
      <c r="BB36">
        <f t="shared" si="18"/>
        <v>170.66580287591444</v>
      </c>
      <c r="BC36">
        <f t="shared" si="19"/>
        <v>192.74889262258108</v>
      </c>
      <c r="BH36">
        <f t="shared" si="20"/>
        <v>187.71544703777622</v>
      </c>
      <c r="BI36">
        <f t="shared" si="21"/>
        <v>28.080112242086983</v>
      </c>
      <c r="BJ36">
        <f t="shared" si="22"/>
        <v>28.08011224208698</v>
      </c>
    </row>
    <row r="37" spans="1:62">
      <c r="A37" s="39">
        <v>30</v>
      </c>
      <c r="B37" s="40" t="s">
        <v>25</v>
      </c>
      <c r="C37">
        <v>0.54</v>
      </c>
      <c r="D37" s="45">
        <f t="shared" si="37"/>
        <v>28.033008261803079</v>
      </c>
      <c r="E37">
        <f t="shared" si="23"/>
        <v>17.975048017428769</v>
      </c>
      <c r="F37">
        <f t="shared" si="0"/>
        <v>414.22911005776183</v>
      </c>
      <c r="G37">
        <f t="shared" si="30"/>
        <v>31.12947830043122</v>
      </c>
      <c r="H37">
        <f t="shared" si="1"/>
        <v>6124.9996441512649</v>
      </c>
      <c r="J37" s="40" t="s">
        <v>26</v>
      </c>
      <c r="K37">
        <v>0.82699999999999996</v>
      </c>
      <c r="L37" s="46">
        <f t="shared" si="2"/>
        <v>33.480000000000004</v>
      </c>
      <c r="M37">
        <f t="shared" si="24"/>
        <v>10</v>
      </c>
      <c r="N37">
        <f t="shared" si="3"/>
        <v>501.05066010158282</v>
      </c>
      <c r="O37">
        <f t="shared" si="31"/>
        <v>31.12947830043122</v>
      </c>
      <c r="P37">
        <f t="shared" si="4"/>
        <v>7408.7866842482563</v>
      </c>
      <c r="R37" s="40" t="s">
        <v>27</v>
      </c>
      <c r="S37">
        <v>0.83399999999999996</v>
      </c>
      <c r="T37" s="45">
        <f t="shared" si="5"/>
        <v>23.157</v>
      </c>
      <c r="U37">
        <f t="shared" si="25"/>
        <v>8</v>
      </c>
      <c r="V37">
        <f t="shared" si="6"/>
        <v>197.85580557662237</v>
      </c>
      <c r="W37">
        <f t="shared" si="32"/>
        <v>31.12947830043122</v>
      </c>
      <c r="X37">
        <f t="shared" si="26"/>
        <v>2925.5953029981069</v>
      </c>
      <c r="Z37" s="40" t="s">
        <v>28</v>
      </c>
      <c r="AA37">
        <v>0.83</v>
      </c>
      <c r="AB37" s="46">
        <f t="shared" si="7"/>
        <v>26.783999999999999</v>
      </c>
      <c r="AC37">
        <f t="shared" si="27"/>
        <v>4</v>
      </c>
      <c r="AD37">
        <f t="shared" si="8"/>
        <v>133.00215739351282</v>
      </c>
      <c r="AE37">
        <f t="shared" si="33"/>
        <v>31.12947830043122</v>
      </c>
      <c r="AF37">
        <f t="shared" si="9"/>
        <v>1966.6366919336501</v>
      </c>
      <c r="AH37" s="40" t="s">
        <v>29</v>
      </c>
      <c r="AI37">
        <v>0.67500000000000004</v>
      </c>
      <c r="AJ37" s="45">
        <f t="shared" si="34"/>
        <v>26.507409170059191</v>
      </c>
      <c r="AK37">
        <f t="shared" si="28"/>
        <v>17.444664082237281</v>
      </c>
      <c r="AL37">
        <f t="shared" si="10"/>
        <v>448.42641702874357</v>
      </c>
      <c r="AM37">
        <f t="shared" si="35"/>
        <v>31.12947830043122</v>
      </c>
      <c r="AN37">
        <f t="shared" si="11"/>
        <v>6630.6581986622868</v>
      </c>
      <c r="AP37" s="41" t="s">
        <v>23</v>
      </c>
      <c r="AQ37">
        <v>0.6</v>
      </c>
      <c r="AR37" s="46">
        <f t="shared" si="12"/>
        <v>35.153999999999996</v>
      </c>
      <c r="AS37">
        <f t="shared" si="29"/>
        <v>20.246153297130327</v>
      </c>
      <c r="AT37">
        <f t="shared" si="13"/>
        <v>802.09109331190677</v>
      </c>
      <c r="AU37">
        <f t="shared" si="36"/>
        <v>31.12947830043122</v>
      </c>
      <c r="AV37">
        <f t="shared" si="14"/>
        <v>11860.121710005522</v>
      </c>
      <c r="AX37">
        <f>AX36+Calculations!$C$24</f>
        <v>6.2246799999999967</v>
      </c>
      <c r="AY37">
        <f t="shared" si="15"/>
        <v>22.844575599999988</v>
      </c>
      <c r="AZ37">
        <f>SUM(H37,P37,X37,AF37,AN37,AV37)*3.67/1000</f>
        <v>135.48464951143663</v>
      </c>
      <c r="BA37">
        <f t="shared" si="17"/>
        <v>44.70993433877409</v>
      </c>
      <c r="BB37">
        <f t="shared" si="18"/>
        <v>180.19458385021073</v>
      </c>
      <c r="BC37">
        <f>BB37+AY37</f>
        <v>203.03915945021072</v>
      </c>
      <c r="BH37">
        <f t="shared" si="20"/>
        <v>186.77686980258733</v>
      </c>
      <c r="BI37">
        <f t="shared" si="21"/>
        <v>28.852569571977043</v>
      </c>
      <c r="BJ37">
        <f t="shared" si="22"/>
        <v>28.852569571977043</v>
      </c>
    </row>
    <row r="39" spans="1:62">
      <c r="F39">
        <f>F37*$F$5*3.67/1000</f>
        <v>0.72210489610819328</v>
      </c>
      <c r="G39" t="s">
        <v>91</v>
      </c>
      <c r="N39">
        <f t="shared" ref="N39:AT39" si="38">N37*$F$5*3.67/1000</f>
        <v>0.87345656322208409</v>
      </c>
      <c r="O39" t="s">
        <v>91</v>
      </c>
      <c r="V39">
        <f t="shared" si="38"/>
        <v>0.34491213307144691</v>
      </c>
      <c r="W39" t="s">
        <v>91</v>
      </c>
      <c r="AD39">
        <f t="shared" si="38"/>
        <v>0.23185601087624119</v>
      </c>
      <c r="AE39" t="s">
        <v>91</v>
      </c>
      <c r="AL39">
        <f t="shared" si="38"/>
        <v>0.78171935148535721</v>
      </c>
      <c r="AM39" t="s">
        <v>91</v>
      </c>
      <c r="AT39">
        <f t="shared" si="38"/>
        <v>1.3982452984159812</v>
      </c>
      <c r="AU39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1FC0B-F7C1-F546-BBF7-DF3E4126B461}">
  <dimension ref="A5:BJ39"/>
  <sheetViews>
    <sheetView topLeftCell="A4" zoomScale="110" zoomScaleNormal="110" workbookViewId="0">
      <pane xSplit="1" topLeftCell="AT1" activePane="topRight" state="frozen"/>
      <selection pane="topRight" activeCell="BF18" sqref="BF18"/>
    </sheetView>
  </sheetViews>
  <sheetFormatPr baseColWidth="10" defaultRowHeight="16"/>
  <cols>
    <col min="1" max="1" width="21.5" customWidth="1"/>
    <col min="2" max="2" width="12.83203125" bestFit="1" customWidth="1"/>
    <col min="3" max="3" width="16.83203125" bestFit="1" customWidth="1"/>
    <col min="4" max="4" width="12.1640625" bestFit="1" customWidth="1"/>
    <col min="5" max="5" width="15.1640625" bestFit="1" customWidth="1"/>
    <col min="6" max="6" width="12.1640625" bestFit="1" customWidth="1"/>
    <col min="7" max="7" width="15.1640625" bestFit="1" customWidth="1"/>
    <col min="8" max="8" width="14.1640625" bestFit="1" customWidth="1"/>
    <col min="10" max="10" width="12.83203125" bestFit="1" customWidth="1"/>
    <col min="11" max="11" width="16.83203125" bestFit="1" customWidth="1"/>
    <col min="12" max="12" width="10.1640625" bestFit="1" customWidth="1"/>
    <col min="13" max="14" width="12.1640625" bestFit="1" customWidth="1"/>
    <col min="15" max="15" width="15.1640625" bestFit="1" customWidth="1"/>
    <col min="16" max="16" width="14.1640625" bestFit="1" customWidth="1"/>
    <col min="18" max="18" width="12.83203125" bestFit="1" customWidth="1"/>
    <col min="19" max="19" width="16.83203125" bestFit="1" customWidth="1"/>
    <col min="20" max="20" width="10.1640625" bestFit="1" customWidth="1"/>
    <col min="21" max="22" width="12.1640625" bestFit="1" customWidth="1"/>
    <col min="23" max="23" width="15.1640625" bestFit="1" customWidth="1"/>
    <col min="24" max="24" width="14.1640625" bestFit="1" customWidth="1"/>
    <col min="26" max="26" width="12.83203125" bestFit="1" customWidth="1"/>
    <col min="27" max="27" width="16.83203125" bestFit="1" customWidth="1"/>
    <col min="28" max="28" width="10.1640625" bestFit="1" customWidth="1"/>
    <col min="29" max="30" width="12.1640625" bestFit="1" customWidth="1"/>
    <col min="31" max="31" width="15.1640625" bestFit="1" customWidth="1"/>
    <col min="32" max="32" width="14.1640625" bestFit="1" customWidth="1"/>
    <col min="34" max="34" width="12.83203125" bestFit="1" customWidth="1"/>
    <col min="35" max="35" width="16.83203125" bestFit="1" customWidth="1"/>
    <col min="36" max="38" width="12.1640625" bestFit="1" customWidth="1"/>
    <col min="39" max="39" width="15.1640625" bestFit="1" customWidth="1"/>
    <col min="40" max="40" width="14.1640625" bestFit="1" customWidth="1"/>
    <col min="43" max="43" width="12.33203125" bestFit="1" customWidth="1"/>
    <col min="44" max="44" width="10.6640625" customWidth="1"/>
    <col min="45" max="45" width="11.5" customWidth="1"/>
    <col min="46" max="46" width="10.1640625" customWidth="1"/>
    <col min="47" max="47" width="11.5" customWidth="1"/>
    <col min="48" max="48" width="13.33203125" customWidth="1"/>
    <col min="50" max="50" width="22.33203125" bestFit="1" customWidth="1"/>
    <col min="52" max="52" width="15.1640625" bestFit="1" customWidth="1"/>
    <col min="54" max="54" width="18.5" bestFit="1" customWidth="1"/>
  </cols>
  <sheetData>
    <row r="5" spans="1:62">
      <c r="B5" s="44" t="s">
        <v>84</v>
      </c>
      <c r="C5">
        <v>0.1595973</v>
      </c>
      <c r="E5" t="s">
        <v>101</v>
      </c>
      <c r="F5">
        <v>0.47499999999999998</v>
      </c>
      <c r="H5" s="45" t="s">
        <v>102</v>
      </c>
      <c r="I5" s="46" t="s">
        <v>85</v>
      </c>
    </row>
    <row r="6" spans="1:62" s="42" customFormat="1" ht="80">
      <c r="A6" s="42" t="s">
        <v>1</v>
      </c>
      <c r="B6" s="42" t="s">
        <v>2</v>
      </c>
      <c r="C6" s="42" t="s">
        <v>6</v>
      </c>
      <c r="D6" s="42" t="s">
        <v>4</v>
      </c>
      <c r="E6" s="42" t="s">
        <v>5</v>
      </c>
      <c r="F6" s="42" t="s">
        <v>24</v>
      </c>
      <c r="G6" s="42" t="s">
        <v>7</v>
      </c>
      <c r="H6" s="42" t="s">
        <v>8</v>
      </c>
      <c r="J6" s="42" t="s">
        <v>2</v>
      </c>
      <c r="K6" s="42" t="s">
        <v>6</v>
      </c>
      <c r="L6" s="42" t="s">
        <v>4</v>
      </c>
      <c r="M6" s="42" t="s">
        <v>5</v>
      </c>
      <c r="N6" s="42" t="s">
        <v>3</v>
      </c>
      <c r="O6" s="42" t="s">
        <v>7</v>
      </c>
      <c r="P6" s="42" t="s">
        <v>8</v>
      </c>
      <c r="R6" s="42" t="s">
        <v>2</v>
      </c>
      <c r="S6" s="42" t="s">
        <v>6</v>
      </c>
      <c r="T6" s="42" t="s">
        <v>4</v>
      </c>
      <c r="U6" s="42" t="s">
        <v>5</v>
      </c>
      <c r="V6" s="42" t="s">
        <v>3</v>
      </c>
      <c r="W6" s="42" t="s">
        <v>7</v>
      </c>
      <c r="X6" s="42" t="s">
        <v>8</v>
      </c>
      <c r="Z6" s="42" t="s">
        <v>2</v>
      </c>
      <c r="AA6" s="42" t="s">
        <v>6</v>
      </c>
      <c r="AB6" s="42" t="s">
        <v>4</v>
      </c>
      <c r="AC6" s="42" t="s">
        <v>5</v>
      </c>
      <c r="AD6" s="42" t="s">
        <v>3</v>
      </c>
      <c r="AE6" s="42" t="s">
        <v>7</v>
      </c>
      <c r="AF6" s="42" t="s">
        <v>8</v>
      </c>
      <c r="AH6" s="42" t="s">
        <v>2</v>
      </c>
      <c r="AI6" s="42" t="s">
        <v>6</v>
      </c>
      <c r="AJ6" s="42" t="s">
        <v>4</v>
      </c>
      <c r="AK6" s="42" t="s">
        <v>5</v>
      </c>
      <c r="AL6" s="42" t="s">
        <v>3</v>
      </c>
      <c r="AM6" s="42" t="s">
        <v>7</v>
      </c>
      <c r="AN6" s="42" t="s">
        <v>8</v>
      </c>
      <c r="AP6" s="42" t="s">
        <v>2</v>
      </c>
      <c r="AQ6" s="42" t="s">
        <v>6</v>
      </c>
      <c r="AR6" s="42" t="s">
        <v>4</v>
      </c>
      <c r="AS6" s="42" t="s">
        <v>5</v>
      </c>
      <c r="AT6" s="42" t="s">
        <v>3</v>
      </c>
      <c r="AU6" s="42" t="s">
        <v>7</v>
      </c>
      <c r="AV6" s="42" t="s">
        <v>8</v>
      </c>
      <c r="AX6" s="42" t="s">
        <v>13</v>
      </c>
      <c r="AY6" s="42" t="s">
        <v>14</v>
      </c>
      <c r="AZ6" s="42" t="s">
        <v>10</v>
      </c>
      <c r="BA6" s="42" t="s">
        <v>11</v>
      </c>
      <c r="BB6" s="42" t="s">
        <v>12</v>
      </c>
      <c r="BC6" s="42" t="s">
        <v>15</v>
      </c>
      <c r="BE6" s="42" t="s">
        <v>71</v>
      </c>
      <c r="BG6" s="42" t="s">
        <v>16</v>
      </c>
      <c r="BH6" s="42" t="s">
        <v>94</v>
      </c>
      <c r="BI6" s="42" t="s">
        <v>70</v>
      </c>
      <c r="BJ6" s="42" t="s">
        <v>95</v>
      </c>
    </row>
    <row r="7" spans="1:62">
      <c r="A7" s="39">
        <v>0</v>
      </c>
      <c r="B7" s="40" t="s">
        <v>25</v>
      </c>
      <c r="C7">
        <v>0.54</v>
      </c>
      <c r="D7" s="45">
        <f>A7*1.3*0.93</f>
        <v>0</v>
      </c>
      <c r="E7">
        <v>0</v>
      </c>
      <c r="F7">
        <f>0.0673*(C7*D7^2*E7)^0.976</f>
        <v>0</v>
      </c>
      <c r="G7">
        <v>60</v>
      </c>
      <c r="H7">
        <f>F7*G7*$F$5</f>
        <v>0</v>
      </c>
      <c r="J7" s="40" t="s">
        <v>26</v>
      </c>
      <c r="K7">
        <v>0.82699999999999996</v>
      </c>
      <c r="L7" s="46">
        <f>A7*1.2*0.93</f>
        <v>0</v>
      </c>
      <c r="M7">
        <f>IF(50.453*(1-EXP(-0.047*L7^(0.812)))&gt;10, 10, 50.453*(1-EXP(-0.047*L7^(0.812))))</f>
        <v>0</v>
      </c>
      <c r="N7">
        <f>0.0673*(K7*L7^2*M7)^0.976</f>
        <v>0</v>
      </c>
      <c r="O7">
        <v>60</v>
      </c>
      <c r="P7">
        <f>N7*O7*$F$5</f>
        <v>0</v>
      </c>
      <c r="R7" s="40" t="s">
        <v>27</v>
      </c>
      <c r="S7">
        <v>0.83399999999999996</v>
      </c>
      <c r="T7" s="45">
        <f>$A7*0.83*0.93</f>
        <v>0</v>
      </c>
      <c r="U7">
        <f>IF(50.453*(1-EXP(-0.047*T7^(0.812)))&gt;8, 8, 50.453*(1-EXP(-0.047*T7^(0.812))))</f>
        <v>0</v>
      </c>
      <c r="V7">
        <f>0.0673*(S7*T7^2*U7)^0.976</f>
        <v>0</v>
      </c>
      <c r="W7">
        <v>60</v>
      </c>
      <c r="X7">
        <f>V7*W7*$F$5</f>
        <v>0</v>
      </c>
      <c r="Z7" s="40" t="s">
        <v>28</v>
      </c>
      <c r="AA7">
        <v>0.83</v>
      </c>
      <c r="AB7" s="46">
        <f>A7*0.96*0.93</f>
        <v>0</v>
      </c>
      <c r="AC7">
        <f>IF(50.453*(1-EXP(-0.047*AB7^(0.812)))&gt;4, 4, 50.453*(1-EXP(-0.047*AB7^(0.812))))</f>
        <v>0</v>
      </c>
      <c r="AD7">
        <f>0.0673*(AA7*AB7^2*AC7)^0.976</f>
        <v>0</v>
      </c>
      <c r="AE7">
        <v>60</v>
      </c>
      <c r="AF7">
        <f>AD7*AE7*$F$5</f>
        <v>0</v>
      </c>
      <c r="AH7" s="40" t="s">
        <v>29</v>
      </c>
      <c r="AI7">
        <v>0.67500000000000004</v>
      </c>
      <c r="AJ7" s="45">
        <f>0*0.93</f>
        <v>0</v>
      </c>
      <c r="AK7">
        <f>IF(50.453*(1-EXP(-0.047*AJ7^(0.812)))&gt;25, 25, 50.453*(1-EXP(-0.047*AJ7^(0.812))))</f>
        <v>0</v>
      </c>
      <c r="AL7">
        <f>0.0673*(AI7*AJ7^2*AK7)^0.976</f>
        <v>0</v>
      </c>
      <c r="AM7">
        <v>60</v>
      </c>
      <c r="AN7">
        <f>AL7*AM7*$F$5</f>
        <v>0</v>
      </c>
      <c r="AP7" s="41" t="s">
        <v>23</v>
      </c>
      <c r="AQ7">
        <v>0.6</v>
      </c>
      <c r="AR7" s="46">
        <f>$A7*1.26*0.93</f>
        <v>0</v>
      </c>
      <c r="AS7">
        <v>0</v>
      </c>
      <c r="AT7">
        <f>0.0673*(AQ7*AR7^2*AS7)^0.976</f>
        <v>0</v>
      </c>
      <c r="AU7">
        <v>60</v>
      </c>
      <c r="AV7">
        <f>AT7*AU7*$F$5</f>
        <v>0</v>
      </c>
      <c r="AX7">
        <v>0</v>
      </c>
      <c r="AY7">
        <f>AX7*3.67</f>
        <v>0</v>
      </c>
      <c r="AZ7">
        <f>SUM(H7,P7,X7,AF7,AN7,AV7)*3.67/1000</f>
        <v>0</v>
      </c>
      <c r="BA7">
        <f>AZ7*0.235</f>
        <v>0</v>
      </c>
      <c r="BB7">
        <f>AZ7+BA7</f>
        <v>0</v>
      </c>
      <c r="BC7">
        <f>BB7+AY7</f>
        <v>0</v>
      </c>
      <c r="BE7">
        <v>9.77</v>
      </c>
      <c r="BG7">
        <f>SUM(AM37,AE37,W37,O37,G37,AU37)</f>
        <v>186.77686980258733</v>
      </c>
      <c r="BH7">
        <f>SUM(G7,O7,W7,AE7,AM7,AU7)</f>
        <v>360</v>
      </c>
      <c r="BI7">
        <f>AVERAGE(D7,L7,T7,AB7,AJ7,AR7)</f>
        <v>0</v>
      </c>
      <c r="BJ7">
        <f>SUM(D7*G7,L7*O7,T7*W7,AB7*AE7,AJ7*AM7,AR7*AU7)/BH7</f>
        <v>0</v>
      </c>
    </row>
    <row r="8" spans="1:62">
      <c r="A8" s="39">
        <v>1</v>
      </c>
      <c r="B8" s="40" t="s">
        <v>25</v>
      </c>
      <c r="C8">
        <v>0.54</v>
      </c>
      <c r="D8" s="45">
        <f>A8*1.3*0.93</f>
        <v>1.2090000000000001</v>
      </c>
      <c r="E8">
        <f>IF(EXP(0.893-$C$5+0.76*LN(D8)-0.034*(LN(D8))^2)&gt;20, 20, EXP(0.893-$C$5+0.76*LN(D8)-0.034*(LN(D8))^2))</f>
        <v>2.4022867111557256</v>
      </c>
      <c r="F8">
        <f t="shared" ref="F8:F37" si="0">0.0673*(C8*D8^2*E8)^0.976</f>
        <v>0.12566587393184619</v>
      </c>
      <c r="G8">
        <f>G7*0.6</f>
        <v>36</v>
      </c>
      <c r="H8">
        <f t="shared" ref="H8:H37" si="1">F8*G8*$F$5</f>
        <v>2.1488864442345696</v>
      </c>
      <c r="J8" s="40" t="s">
        <v>26</v>
      </c>
      <c r="K8">
        <v>0.82699999999999996</v>
      </c>
      <c r="L8" s="46">
        <f t="shared" ref="L8:L37" si="2">A8*1.2*0.93</f>
        <v>1.1160000000000001</v>
      </c>
      <c r="M8">
        <f>IF(EXP(0.893-$C$5+0.76*LN(L8)-0.034*(LN(L8))^2)&gt;10, 10, EXP(0.893-$C$5+0.76*LN(L8)-0.034*(LN(L8))^2))</f>
        <v>2.2623493710319655</v>
      </c>
      <c r="N8">
        <f t="shared" ref="N8:N37" si="3">0.0673*(K8*L8^2*M8)^0.976</f>
        <v>0.15367074276443529</v>
      </c>
      <c r="O8">
        <f>O7*0.6</f>
        <v>36</v>
      </c>
      <c r="P8">
        <f t="shared" ref="P8:P37" si="4">N8*O8*$F$5</f>
        <v>2.6277697012718435</v>
      </c>
      <c r="R8" s="40" t="s">
        <v>27</v>
      </c>
      <c r="S8">
        <v>0.83399999999999996</v>
      </c>
      <c r="T8" s="45">
        <f t="shared" ref="T8:T37" si="5">$A8*0.83*0.93</f>
        <v>0.77190000000000003</v>
      </c>
      <c r="U8">
        <f>IF(EXP(0.893-$C$5+0.76*LN(T8)-0.034*(LN(T8))^2)&gt;8, 8, EXP(0.893-$C$5+0.76*LN(T8)-0.034*(LN(T8))^2))</f>
        <v>1.7063549651720271</v>
      </c>
      <c r="V8">
        <f t="shared" ref="V8:V37" si="6">0.0673*(S8*T8^2*U8)^0.976</f>
        <v>5.7291737964588536E-2</v>
      </c>
      <c r="W8">
        <f>W7*0.6</f>
        <v>36</v>
      </c>
      <c r="X8">
        <f>V8*W8*$F$5</f>
        <v>0.97968871919446399</v>
      </c>
      <c r="Z8" s="40" t="s">
        <v>28</v>
      </c>
      <c r="AA8">
        <v>0.83</v>
      </c>
      <c r="AB8" s="46">
        <f t="shared" ref="AB8:AB37" si="7">A8*0.96*0.93</f>
        <v>0.89280000000000004</v>
      </c>
      <c r="AC8">
        <f>IF(EXP(0.893-$C$5+0.76*LN(AB8)-0.034*(LN(AB8))^2)&gt;4, 4, EXP(0.893-$C$5+0.76*LN(AB8)-0.034*(LN(AB8))^2))</f>
        <v>1.9093962430220195</v>
      </c>
      <c r="AD8">
        <f t="shared" ref="AD8:AD37" si="8">0.0673*(AA8*AB8^2*AC8)^0.976</f>
        <v>8.4539953190434974E-2</v>
      </c>
      <c r="AE8">
        <f>AE7*0.6</f>
        <v>36</v>
      </c>
      <c r="AF8">
        <f t="shared" ref="AF8:AF37" si="9">AD8*AE8*$F$5</f>
        <v>1.445633199556438</v>
      </c>
      <c r="AH8" s="40" t="s">
        <v>29</v>
      </c>
      <c r="AI8">
        <v>0.67500000000000004</v>
      </c>
      <c r="AJ8" s="45">
        <f>(AJ9/2)*0.93</f>
        <v>0.20744065371661924</v>
      </c>
      <c r="AK8">
        <f>IF(EXP(0.893-$C$5+0.76*LN(AJ8)-0.034*(LN(AJ8))^2)&gt;25, 25, EXP(0.893-$C$5+0.76*LN(AJ8)-0.034*(LN(AJ8))^2))</f>
        <v>0.57918898961833309</v>
      </c>
      <c r="AL8">
        <f t="shared" ref="AL8:AL37" si="10">0.0673*(AI8*AJ8^2*AK8)^0.976</f>
        <v>1.248834809528185E-3</v>
      </c>
      <c r="AM8">
        <f>AM7*0.6</f>
        <v>36</v>
      </c>
      <c r="AN8">
        <f t="shared" ref="AN8:AN37" si="11">AL8*AM8*$F$5</f>
        <v>2.1355075242931964E-2</v>
      </c>
      <c r="AP8" s="41" t="s">
        <v>23</v>
      </c>
      <c r="AQ8">
        <v>0.6</v>
      </c>
      <c r="AR8" s="46">
        <f t="shared" ref="AR8:AR37" si="12">$A8*1.26*0.93</f>
        <v>1.1718000000000002</v>
      </c>
      <c r="AS8">
        <f>IF(EXP(0.893-$C$5+0.76*LN(AR8)-0.034*(LN(AR8))^2)&gt;22.5, 22.5, EXP(0.893-$C$5+0.76*LN(AR8)-0.034*(LN(AR8))^2))</f>
        <v>2.3467685168324857</v>
      </c>
      <c r="AT8">
        <f t="shared" ref="AT8:AT37" si="13">0.0673*(AQ8*AR8^2*AS8)^0.976</f>
        <v>0.12807715485095181</v>
      </c>
      <c r="AU8">
        <f>AU7*0.6</f>
        <v>36</v>
      </c>
      <c r="AV8">
        <f t="shared" ref="AV8:AV37" si="14">AT8*AU8*$F$5</f>
        <v>2.1901193479512759</v>
      </c>
      <c r="AX8">
        <f>AX7+0.8</f>
        <v>0.8</v>
      </c>
      <c r="AY8">
        <f t="shared" ref="AY8:AY37" si="15">AX8*3.67</f>
        <v>2.9359999999999999</v>
      </c>
      <c r="AZ8">
        <f t="shared" ref="AZ8:AZ36" si="16">SUM(H8,P8,X8,AF8,AN8,AV8)*3.67/1000</f>
        <v>3.4547370628947083E-2</v>
      </c>
      <c r="BA8">
        <f t="shared" ref="BA8:BA36" si="17">AZ8*0.235</f>
        <v>8.1186320978025635E-3</v>
      </c>
      <c r="BB8">
        <f t="shared" ref="BB8:BB37" si="18">AZ8+BA8</f>
        <v>4.2666002726749648E-2</v>
      </c>
      <c r="BC8">
        <f t="shared" ref="BC8:BC36" si="19">BB8+AY8</f>
        <v>2.9786660027267495</v>
      </c>
      <c r="BH8">
        <f t="shared" ref="BH8:BH37" si="20">SUM(G8,O8,W8,AE8,AM8,AU8)</f>
        <v>216</v>
      </c>
      <c r="BI8">
        <f t="shared" ref="BI8:BI37" si="21">AVERAGE(D8,L8,T8,AB8,AJ8,AR8)</f>
        <v>0.89482344228610333</v>
      </c>
      <c r="BJ8">
        <f t="shared" ref="BJ8:BJ37" si="22">SUM(D8*G8,L8*O8,T8*W8,AB8*AE8,AJ8*AM8,AR8*AU8)/BH8</f>
        <v>0.89482344228610344</v>
      </c>
    </row>
    <row r="9" spans="1:62" ht="19">
      <c r="A9" s="39">
        <v>2</v>
      </c>
      <c r="B9" s="40" t="s">
        <v>25</v>
      </c>
      <c r="C9">
        <v>0.54</v>
      </c>
      <c r="D9" s="45">
        <f>A9*1.3*0.93</f>
        <v>2.4180000000000001</v>
      </c>
      <c r="E9">
        <f t="shared" ref="E9:E37" si="23">IF(EXP(0.893-$C$5+0.76*LN(D9)-0.034*(LN(D9))^2)&gt;20, 20, EXP(0.893-$C$5+0.76*LN(D9)-0.034*(LN(D9))^2))</f>
        <v>3.9666892433038154</v>
      </c>
      <c r="F9">
        <f t="shared" si="0"/>
        <v>0.79323883281578411</v>
      </c>
      <c r="G9">
        <f>G8*0.995</f>
        <v>35.82</v>
      </c>
      <c r="H9">
        <f t="shared" si="1"/>
        <v>13.496562120944159</v>
      </c>
      <c r="J9" s="40" t="s">
        <v>26</v>
      </c>
      <c r="K9">
        <v>0.82699999999999996</v>
      </c>
      <c r="L9" s="46">
        <f t="shared" si="2"/>
        <v>2.2320000000000002</v>
      </c>
      <c r="M9">
        <f t="shared" ref="M9:M37" si="24">IF(EXP(0.893-$C$5+0.76*LN(L9)-0.034*(LN(L9))^2)&gt;10, 10, EXP(0.893-$C$5+0.76*LN(L9)-0.034*(LN(L9))^2))</f>
        <v>3.7497428888488935</v>
      </c>
      <c r="N9">
        <f t="shared" si="3"/>
        <v>0.97359190747187629</v>
      </c>
      <c r="O9">
        <f>O8*0.995</f>
        <v>35.82</v>
      </c>
      <c r="P9">
        <f t="shared" si="4"/>
        <v>16.565179509680238</v>
      </c>
      <c r="R9" s="40" t="s">
        <v>27</v>
      </c>
      <c r="S9">
        <v>0.83399999999999996</v>
      </c>
      <c r="T9" s="45">
        <f t="shared" si="5"/>
        <v>1.5438000000000001</v>
      </c>
      <c r="U9">
        <f t="shared" ref="U9:U37" si="25">IF(EXP(0.893-$C$5+0.76*LN(T9)-0.034*(LN(T9))^2)&gt;8, 8, EXP(0.893-$C$5+0.76*LN(T9)-0.034*(LN(T9))^2))</f>
        <v>2.8777794095050986</v>
      </c>
      <c r="V9">
        <f t="shared" si="6"/>
        <v>0.36918407055421182</v>
      </c>
      <c r="W9">
        <f>W8*0.995</f>
        <v>35.82</v>
      </c>
      <c r="X9">
        <f t="shared" ref="X9:X37" si="26">V9*W9*$F$5</f>
        <v>6.281482368444637</v>
      </c>
      <c r="Z9" s="40" t="s">
        <v>28</v>
      </c>
      <c r="AA9">
        <v>0.83</v>
      </c>
      <c r="AB9" s="46">
        <f t="shared" si="7"/>
        <v>1.7856000000000001</v>
      </c>
      <c r="AC9">
        <f t="shared" ref="AC9:AC37" si="27">IF(EXP(0.893-$C$5+0.76*LN(AB9)-0.034*(LN(AB9))^2)&gt;4, 4, EXP(0.893-$C$5+0.76*LN(AB9)-0.034*(LN(AB9))^2))</f>
        <v>3.1982001408205352</v>
      </c>
      <c r="AD9">
        <f t="shared" si="8"/>
        <v>0.5411353421827092</v>
      </c>
      <c r="AE9">
        <f>AE8*0.995</f>
        <v>35.82</v>
      </c>
      <c r="AF9">
        <f t="shared" si="9"/>
        <v>9.207147279567705</v>
      </c>
      <c r="AH9" s="40" t="s">
        <v>29</v>
      </c>
      <c r="AI9">
        <v>0.67500000000000004</v>
      </c>
      <c r="AJ9" s="45">
        <f>(10.348*LN(A9)-6.693)*0.93</f>
        <v>0.44610893272391233</v>
      </c>
      <c r="AK9">
        <f t="shared" ref="AK9:AK37" si="28">IF(EXP(0.893-$C$5+0.76*LN(AJ9)-0.034*(LN(AJ9))^2)&gt;25, 25, EXP(0.893-$C$5+0.76*LN(AJ9)-0.034*(LN(AJ9))^2))</f>
        <v>1.1027242229265279</v>
      </c>
      <c r="AL9">
        <f t="shared" si="10"/>
        <v>1.0436909796128178E-2</v>
      </c>
      <c r="AM9">
        <f>AM8*0.995</f>
        <v>35.82</v>
      </c>
      <c r="AN9">
        <f t="shared" si="11"/>
        <v>0.1775788017262229</v>
      </c>
      <c r="AP9" s="41" t="s">
        <v>23</v>
      </c>
      <c r="AQ9">
        <v>0.6</v>
      </c>
      <c r="AR9" s="46">
        <f t="shared" si="12"/>
        <v>2.3436000000000003</v>
      </c>
      <c r="AS9">
        <f t="shared" ref="AS9:AS37" si="29">IF(EXP(0.893-$C$5+0.76*LN(AR9)-0.034*(LN(AR9))^2)&gt;22.5, 22.5, EXP(0.893-$C$5+0.76*LN(AR9)-0.034*(LN(AR9))^2))</f>
        <v>3.8807291577701366</v>
      </c>
      <c r="AT9">
        <f t="shared" si="13"/>
        <v>0.80962268725573516</v>
      </c>
      <c r="AU9">
        <f>AU8*0.995</f>
        <v>35.82</v>
      </c>
      <c r="AV9">
        <f t="shared" si="14"/>
        <v>13.775325212312705</v>
      </c>
      <c r="AX9">
        <f t="shared" ref="AX9:AX37" si="30">AX8+0.8</f>
        <v>1.6</v>
      </c>
      <c r="AY9">
        <f t="shared" si="15"/>
        <v>5.8719999999999999</v>
      </c>
      <c r="AZ9">
        <f t="shared" si="16"/>
        <v>0.21837702032411968</v>
      </c>
      <c r="BA9">
        <f t="shared" si="17"/>
        <v>5.1318599776168122E-2</v>
      </c>
      <c r="BB9">
        <f t="shared" si="18"/>
        <v>0.2696956201002878</v>
      </c>
      <c r="BC9">
        <f t="shared" si="19"/>
        <v>6.1416956201002879</v>
      </c>
      <c r="BE9" s="38" t="s">
        <v>17</v>
      </c>
      <c r="BH9">
        <f t="shared" si="20"/>
        <v>214.92</v>
      </c>
      <c r="BI9">
        <f t="shared" si="21"/>
        <v>1.7948514887873188</v>
      </c>
      <c r="BJ9">
        <f t="shared" si="22"/>
        <v>1.794851488787319</v>
      </c>
    </row>
    <row r="10" spans="1:62">
      <c r="A10" s="39">
        <v>3</v>
      </c>
      <c r="B10" s="40" t="s">
        <v>25</v>
      </c>
      <c r="C10">
        <v>0.54</v>
      </c>
      <c r="D10" s="45">
        <f>(11.291*LN(A10)-8.2599)*0.93</f>
        <v>3.8544141567570138</v>
      </c>
      <c r="E10">
        <f t="shared" si="23"/>
        <v>5.4570908274313821</v>
      </c>
      <c r="F10">
        <f t="shared" si="0"/>
        <v>2.6908918358536993</v>
      </c>
      <c r="G10">
        <f t="shared" ref="G10:G37" si="31">G9*0.995</f>
        <v>35.640900000000002</v>
      </c>
      <c r="H10">
        <f t="shared" si="1"/>
        <v>45.555258245427105</v>
      </c>
      <c r="J10" s="40" t="s">
        <v>26</v>
      </c>
      <c r="K10">
        <v>0.82699999999999996</v>
      </c>
      <c r="L10" s="46">
        <f t="shared" si="2"/>
        <v>3.3479999999999999</v>
      </c>
      <c r="M10">
        <f t="shared" si="24"/>
        <v>4.9635136380079485</v>
      </c>
      <c r="N10">
        <f t="shared" si="3"/>
        <v>2.8246973133015922</v>
      </c>
      <c r="O10">
        <f t="shared" ref="O10:O37" si="32">O9*0.995</f>
        <v>35.640900000000002</v>
      </c>
      <c r="P10">
        <f t="shared" si="4"/>
        <v>47.820508374984094</v>
      </c>
      <c r="R10" s="40" t="s">
        <v>27</v>
      </c>
      <c r="S10">
        <v>0.83399999999999996</v>
      </c>
      <c r="T10" s="45">
        <f t="shared" si="5"/>
        <v>2.3157000000000001</v>
      </c>
      <c r="U10">
        <f t="shared" si="25"/>
        <v>3.8482168306610349</v>
      </c>
      <c r="V10">
        <f t="shared" si="6"/>
        <v>1.0817982551473855</v>
      </c>
      <c r="W10">
        <f t="shared" ref="W10:W37" si="33">W9*0.995</f>
        <v>35.640900000000002</v>
      </c>
      <c r="X10">
        <f t="shared" si="26"/>
        <v>18.314225130144166</v>
      </c>
      <c r="Z10" s="40" t="s">
        <v>28</v>
      </c>
      <c r="AA10">
        <v>0.83</v>
      </c>
      <c r="AB10" s="46">
        <f t="shared" si="7"/>
        <v>2.6783999999999999</v>
      </c>
      <c r="AC10">
        <f t="shared" si="27"/>
        <v>4</v>
      </c>
      <c r="AD10">
        <f t="shared" si="8"/>
        <v>1.4854522146834015</v>
      </c>
      <c r="AE10">
        <f t="shared" ref="AE10:AE37" si="34">AE9*0.995</f>
        <v>35.640900000000002</v>
      </c>
      <c r="AF10">
        <f t="shared" si="9"/>
        <v>25.147855573197081</v>
      </c>
      <c r="AH10" s="40" t="s">
        <v>29</v>
      </c>
      <c r="AI10">
        <v>0.67500000000000004</v>
      </c>
      <c r="AJ10" s="45">
        <f t="shared" ref="AJ10:AJ37" si="35">(10.348*LN(A10)-6.693)*0.93</f>
        <v>4.348159165717969</v>
      </c>
      <c r="AK10">
        <f t="shared" si="28"/>
        <v>5.9119089797493611</v>
      </c>
      <c r="AL10">
        <f t="shared" si="10"/>
        <v>4.5771381984028379</v>
      </c>
      <c r="AM10">
        <f t="shared" ref="AM10:AM37" si="36">AM9*0.995</f>
        <v>35.640900000000002</v>
      </c>
      <c r="AN10">
        <f t="shared" si="11"/>
        <v>77.488329287341458</v>
      </c>
      <c r="AP10" s="41" t="s">
        <v>23</v>
      </c>
      <c r="AQ10">
        <v>0.6</v>
      </c>
      <c r="AR10" s="46">
        <f t="shared" si="12"/>
        <v>3.5154000000000005</v>
      </c>
      <c r="AS10">
        <f t="shared" si="29"/>
        <v>5.1299937920731127</v>
      </c>
      <c r="AT10">
        <f t="shared" si="13"/>
        <v>2.3458888381534253</v>
      </c>
      <c r="AU10">
        <f t="shared" ref="AU10:AU37" si="37">AU9*0.995</f>
        <v>35.640900000000002</v>
      </c>
      <c r="AV10">
        <f t="shared" si="14"/>
        <v>39.714555008577648</v>
      </c>
      <c r="AX10">
        <f t="shared" si="30"/>
        <v>2.4000000000000004</v>
      </c>
      <c r="AY10">
        <f t="shared" si="15"/>
        <v>8.8080000000000016</v>
      </c>
      <c r="AZ10">
        <f t="shared" si="16"/>
        <v>0.93232948504419444</v>
      </c>
      <c r="BA10">
        <f t="shared" si="17"/>
        <v>0.21909742898538567</v>
      </c>
      <c r="BB10">
        <f t="shared" si="18"/>
        <v>1.1514269140295801</v>
      </c>
      <c r="BC10">
        <f t="shared" si="19"/>
        <v>9.9594269140295815</v>
      </c>
      <c r="BE10">
        <f>BC37*BE7</f>
        <v>2495.2926067725189</v>
      </c>
      <c r="BH10">
        <f t="shared" si="20"/>
        <v>213.84539999999998</v>
      </c>
      <c r="BI10">
        <f t="shared" si="21"/>
        <v>3.3433455537458303</v>
      </c>
      <c r="BJ10">
        <f t="shared" si="22"/>
        <v>3.3433455537458308</v>
      </c>
    </row>
    <row r="11" spans="1:62">
      <c r="A11" s="39">
        <v>4</v>
      </c>
      <c r="B11" s="40" t="s">
        <v>25</v>
      </c>
      <c r="C11">
        <v>0.54</v>
      </c>
      <c r="D11" s="45">
        <f t="shared" ref="D11:D37" si="38">(11.291*LN(A11)-8.2599)*0.93</f>
        <v>6.8752571572063577</v>
      </c>
      <c r="E11">
        <f t="shared" si="23"/>
        <v>7.9427044024510023</v>
      </c>
      <c r="F11">
        <f t="shared" si="0"/>
        <v>12.011259682915471</v>
      </c>
      <c r="G11">
        <f t="shared" si="31"/>
        <v>35.462695500000002</v>
      </c>
      <c r="H11">
        <f t="shared" si="1"/>
        <v>202.3270312356625</v>
      </c>
      <c r="J11" s="40" t="s">
        <v>26</v>
      </c>
      <c r="K11">
        <v>0.82699999999999996</v>
      </c>
      <c r="L11" s="46">
        <f t="shared" si="2"/>
        <v>4.4640000000000004</v>
      </c>
      <c r="M11">
        <f t="shared" si="24"/>
        <v>6.0152621208069359</v>
      </c>
      <c r="N11">
        <f t="shared" si="3"/>
        <v>5.974677940426421</v>
      </c>
      <c r="O11">
        <f t="shared" si="32"/>
        <v>35.462695500000002</v>
      </c>
      <c r="P11">
        <f t="shared" si="4"/>
        <v>100.64213764315693</v>
      </c>
      <c r="R11" s="40" t="s">
        <v>27</v>
      </c>
      <c r="S11">
        <v>0.83399999999999996</v>
      </c>
      <c r="T11" s="45">
        <f t="shared" si="5"/>
        <v>3.0876000000000001</v>
      </c>
      <c r="U11">
        <f t="shared" si="25"/>
        <v>4.6973927262812403</v>
      </c>
      <c r="V11">
        <f t="shared" si="6"/>
        <v>2.3043353947381657</v>
      </c>
      <c r="W11">
        <f t="shared" si="33"/>
        <v>35.462695500000002</v>
      </c>
      <c r="X11">
        <f t="shared" si="26"/>
        <v>38.81602360589914</v>
      </c>
      <c r="Z11" s="40" t="s">
        <v>28</v>
      </c>
      <c r="AA11">
        <v>0.83</v>
      </c>
      <c r="AB11" s="46">
        <f t="shared" si="7"/>
        <v>3.5712000000000002</v>
      </c>
      <c r="AC11">
        <f t="shared" si="27"/>
        <v>4</v>
      </c>
      <c r="AD11">
        <f t="shared" si="8"/>
        <v>2.6045883846665623</v>
      </c>
      <c r="AE11">
        <f t="shared" si="34"/>
        <v>35.462695500000002</v>
      </c>
      <c r="AF11">
        <f t="shared" si="9"/>
        <v>43.873719274426904</v>
      </c>
      <c r="AH11" s="40" t="s">
        <v>29</v>
      </c>
      <c r="AI11">
        <v>0.67500000000000004</v>
      </c>
      <c r="AJ11" s="45">
        <f t="shared" si="35"/>
        <v>7.1167078654478244</v>
      </c>
      <c r="AK11">
        <f t="shared" si="28"/>
        <v>8.1166749187898439</v>
      </c>
      <c r="AL11">
        <f t="shared" si="10"/>
        <v>16.316142969166702</v>
      </c>
      <c r="AM11">
        <f t="shared" si="36"/>
        <v>35.462695500000002</v>
      </c>
      <c r="AN11">
        <f t="shared" si="11"/>
        <v>274.84184467876173</v>
      </c>
      <c r="AP11" s="41" t="s">
        <v>23</v>
      </c>
      <c r="AQ11">
        <v>0.6</v>
      </c>
      <c r="AR11" s="46">
        <f t="shared" si="12"/>
        <v>4.6872000000000007</v>
      </c>
      <c r="AS11">
        <f t="shared" si="29"/>
        <v>6.2110877330810332</v>
      </c>
      <c r="AT11">
        <f t="shared" si="13"/>
        <v>4.9573028007852082</v>
      </c>
      <c r="AU11">
        <f t="shared" si="37"/>
        <v>35.462695500000002</v>
      </c>
      <c r="AV11">
        <f t="shared" si="14"/>
        <v>83.504676869632917</v>
      </c>
      <c r="AX11">
        <f t="shared" si="30"/>
        <v>3.2</v>
      </c>
      <c r="AY11">
        <f t="shared" si="15"/>
        <v>11.744</v>
      </c>
      <c r="AZ11">
        <f t="shared" si="16"/>
        <v>2.7304999402386723</v>
      </c>
      <c r="BA11">
        <f t="shared" si="17"/>
        <v>0.64166748595608791</v>
      </c>
      <c r="BB11">
        <f t="shared" si="18"/>
        <v>3.3721674261947601</v>
      </c>
      <c r="BC11">
        <f t="shared" si="19"/>
        <v>15.11616742619476</v>
      </c>
      <c r="BH11">
        <f t="shared" si="20"/>
        <v>212.776173</v>
      </c>
      <c r="BI11">
        <f t="shared" si="21"/>
        <v>4.9669941704423639</v>
      </c>
      <c r="BJ11">
        <f t="shared" si="22"/>
        <v>4.9669941704423639</v>
      </c>
    </row>
    <row r="12" spans="1:62" ht="19">
      <c r="A12" s="39">
        <v>5</v>
      </c>
      <c r="B12" s="40" t="s">
        <v>25</v>
      </c>
      <c r="C12">
        <v>0.54</v>
      </c>
      <c r="D12" s="45">
        <f t="shared" si="38"/>
        <v>9.2184050264428876</v>
      </c>
      <c r="E12">
        <f t="shared" si="23"/>
        <v>9.5235638851318285</v>
      </c>
      <c r="F12">
        <f t="shared" si="0"/>
        <v>25.418374783839084</v>
      </c>
      <c r="G12">
        <f t="shared" si="31"/>
        <v>35.285382022500002</v>
      </c>
      <c r="H12">
        <f t="shared" si="1"/>
        <v>426.02610570345036</v>
      </c>
      <c r="J12" s="40" t="s">
        <v>26</v>
      </c>
      <c r="K12">
        <v>0.82699999999999996</v>
      </c>
      <c r="L12" s="46">
        <f t="shared" si="2"/>
        <v>5.58</v>
      </c>
      <c r="M12">
        <f t="shared" si="24"/>
        <v>6.9552406681794228</v>
      </c>
      <c r="N12">
        <f t="shared" si="3"/>
        <v>10.642093449791805</v>
      </c>
      <c r="O12">
        <f t="shared" si="32"/>
        <v>35.285382022500002</v>
      </c>
      <c r="P12">
        <f t="shared" si="4"/>
        <v>178.36740812514816</v>
      </c>
      <c r="R12" s="40" t="s">
        <v>27</v>
      </c>
      <c r="S12">
        <v>0.83399999999999996</v>
      </c>
      <c r="T12" s="45">
        <f t="shared" si="5"/>
        <v>3.8594999999999997</v>
      </c>
      <c r="U12">
        <f t="shared" si="25"/>
        <v>5.4619012430671399</v>
      </c>
      <c r="V12">
        <f t="shared" si="6"/>
        <v>4.126951082506908</v>
      </c>
      <c r="W12">
        <f t="shared" si="33"/>
        <v>35.285382022500002</v>
      </c>
      <c r="X12">
        <f t="shared" si="26"/>
        <v>69.169996628852431</v>
      </c>
      <c r="Z12" s="40" t="s">
        <v>28</v>
      </c>
      <c r="AA12">
        <v>0.83</v>
      </c>
      <c r="AB12" s="46">
        <f t="shared" si="7"/>
        <v>4.4640000000000004</v>
      </c>
      <c r="AC12">
        <f t="shared" si="27"/>
        <v>4</v>
      </c>
      <c r="AD12">
        <f t="shared" si="8"/>
        <v>4.0263121798624137</v>
      </c>
      <c r="AE12">
        <f t="shared" si="34"/>
        <v>35.285382022500002</v>
      </c>
      <c r="AF12">
        <f t="shared" si="9"/>
        <v>67.483232618937762</v>
      </c>
      <c r="AH12" s="40" t="s">
        <v>29</v>
      </c>
      <c r="AI12">
        <v>0.67500000000000004</v>
      </c>
      <c r="AJ12" s="45">
        <f t="shared" si="35"/>
        <v>9.2641610716173055</v>
      </c>
      <c r="AK12">
        <f t="shared" si="28"/>
        <v>9.5523139450916581</v>
      </c>
      <c r="AL12">
        <f t="shared" si="10"/>
        <v>32.004203989489582</v>
      </c>
      <c r="AM12">
        <f t="shared" si="36"/>
        <v>35.285382022500002</v>
      </c>
      <c r="AN12">
        <f t="shared" si="11"/>
        <v>536.40826794520024</v>
      </c>
      <c r="AP12" s="41" t="s">
        <v>23</v>
      </c>
      <c r="AQ12">
        <v>0.6</v>
      </c>
      <c r="AR12" s="46">
        <f t="shared" si="12"/>
        <v>5.859</v>
      </c>
      <c r="AS12">
        <f t="shared" si="29"/>
        <v>7.1763522491054488</v>
      </c>
      <c r="AT12">
        <f t="shared" si="13"/>
        <v>8.8235674625905443</v>
      </c>
      <c r="AU12">
        <f t="shared" si="37"/>
        <v>35.285382022500002</v>
      </c>
      <c r="AV12">
        <f t="shared" si="14"/>
        <v>147.88790064143396</v>
      </c>
      <c r="AX12">
        <f t="shared" si="30"/>
        <v>4</v>
      </c>
      <c r="AY12">
        <f t="shared" si="15"/>
        <v>14.68</v>
      </c>
      <c r="AZ12">
        <f t="shared" si="16"/>
        <v>5.2310084858032955</v>
      </c>
      <c r="BA12">
        <f t="shared" si="17"/>
        <v>1.2292869941637743</v>
      </c>
      <c r="BB12">
        <f t="shared" si="18"/>
        <v>6.46029547996707</v>
      </c>
      <c r="BC12">
        <f t="shared" si="19"/>
        <v>21.140295479967069</v>
      </c>
      <c r="BE12" s="38" t="s">
        <v>30</v>
      </c>
      <c r="BF12" s="1" t="s">
        <v>32</v>
      </c>
      <c r="BH12">
        <f t="shared" si="20"/>
        <v>211.71229213500004</v>
      </c>
      <c r="BI12" s="30">
        <f>AVERAGE(D12,L12,T12,AB12,AJ12,AR12)</f>
        <v>6.374177683010033</v>
      </c>
      <c r="BJ12" s="30">
        <f t="shared" si="22"/>
        <v>6.374177683010033</v>
      </c>
    </row>
    <row r="13" spans="1:62">
      <c r="A13" s="39">
        <v>6</v>
      </c>
      <c r="B13" s="40" t="s">
        <v>25</v>
      </c>
      <c r="C13">
        <v>0.54</v>
      </c>
      <c r="D13" s="45">
        <f t="shared" si="38"/>
        <v>11.132896235360191</v>
      </c>
      <c r="E13">
        <f t="shared" si="23"/>
        <v>10.670365087171863</v>
      </c>
      <c r="F13">
        <f t="shared" si="0"/>
        <v>41.050030195956417</v>
      </c>
      <c r="G13">
        <f t="shared" si="31"/>
        <v>35.108955112387505</v>
      </c>
      <c r="H13">
        <f t="shared" si="1"/>
        <v>684.58124206819309</v>
      </c>
      <c r="J13" s="40" t="s">
        <v>26</v>
      </c>
      <c r="K13">
        <v>0.82699999999999996</v>
      </c>
      <c r="L13" s="46">
        <f t="shared" si="2"/>
        <v>6.6959999999999997</v>
      </c>
      <c r="M13">
        <f t="shared" si="24"/>
        <v>7.8116432153777851</v>
      </c>
      <c r="N13">
        <f t="shared" si="3"/>
        <v>17.014091807703629</v>
      </c>
      <c r="O13">
        <f t="shared" si="32"/>
        <v>35.108955112387505</v>
      </c>
      <c r="P13">
        <f t="shared" si="4"/>
        <v>283.7398181384857</v>
      </c>
      <c r="R13" s="40" t="s">
        <v>27</v>
      </c>
      <c r="S13">
        <v>0.83399999999999996</v>
      </c>
      <c r="T13" s="45">
        <f t="shared" si="5"/>
        <v>4.6314000000000002</v>
      </c>
      <c r="U13">
        <f t="shared" si="25"/>
        <v>6.1625295944488379</v>
      </c>
      <c r="V13">
        <f t="shared" si="6"/>
        <v>6.6274784427254652</v>
      </c>
      <c r="W13">
        <f t="shared" si="33"/>
        <v>35.108955112387505</v>
      </c>
      <c r="X13">
        <f t="shared" si="26"/>
        <v>110.524825498133</v>
      </c>
      <c r="Z13" s="40" t="s">
        <v>28</v>
      </c>
      <c r="AA13">
        <v>0.83</v>
      </c>
      <c r="AB13" s="46">
        <f t="shared" si="7"/>
        <v>5.3567999999999998</v>
      </c>
      <c r="AC13">
        <f t="shared" si="27"/>
        <v>4</v>
      </c>
      <c r="AD13">
        <f t="shared" si="8"/>
        <v>5.7473710641433851</v>
      </c>
      <c r="AE13">
        <f t="shared" si="34"/>
        <v>35.108955112387505</v>
      </c>
      <c r="AF13">
        <f t="shared" si="9"/>
        <v>95.847491534991335</v>
      </c>
      <c r="AH13" s="40" t="s">
        <v>29</v>
      </c>
      <c r="AI13">
        <v>0.67500000000000004</v>
      </c>
      <c r="AJ13" s="45">
        <f t="shared" si="35"/>
        <v>11.01875809844188</v>
      </c>
      <c r="AK13">
        <f t="shared" si="28"/>
        <v>10.604977206399607</v>
      </c>
      <c r="AL13">
        <f t="shared" si="10"/>
        <v>49.722846479612748</v>
      </c>
      <c r="AM13">
        <f t="shared" si="36"/>
        <v>35.108955112387505</v>
      </c>
      <c r="AN13">
        <f t="shared" si="11"/>
        <v>829.21566292860803</v>
      </c>
      <c r="AP13" s="41" t="s">
        <v>23</v>
      </c>
      <c r="AQ13">
        <v>0.6</v>
      </c>
      <c r="AR13" s="46">
        <f t="shared" si="12"/>
        <v>7.030800000000001</v>
      </c>
      <c r="AS13">
        <f t="shared" si="29"/>
        <v>8.0551064261214442</v>
      </c>
      <c r="AT13">
        <f t="shared" si="13"/>
        <v>14.098389897387355</v>
      </c>
      <c r="AU13">
        <f t="shared" si="37"/>
        <v>35.108955112387505</v>
      </c>
      <c r="AV13">
        <f t="shared" si="14"/>
        <v>235.11537558054729</v>
      </c>
      <c r="AX13">
        <f t="shared" si="30"/>
        <v>4.8</v>
      </c>
      <c r="AY13">
        <f t="shared" si="15"/>
        <v>17.616</v>
      </c>
      <c r="AZ13">
        <f t="shared" si="16"/>
        <v>8.2172196057986771</v>
      </c>
      <c r="BA13">
        <f t="shared" si="17"/>
        <v>1.9310466073626891</v>
      </c>
      <c r="BB13">
        <f t="shared" si="18"/>
        <v>10.148266213161365</v>
      </c>
      <c r="BC13">
        <f t="shared" si="19"/>
        <v>27.764266213161363</v>
      </c>
      <c r="BE13">
        <f>BE10*0.2</f>
        <v>499.0585213545038</v>
      </c>
      <c r="BF13">
        <f>BE13/BE7</f>
        <v>51.080708429324851</v>
      </c>
      <c r="BH13">
        <f t="shared" si="20"/>
        <v>210.653730674325</v>
      </c>
      <c r="BI13">
        <f t="shared" si="21"/>
        <v>7.6444423889670112</v>
      </c>
      <c r="BJ13">
        <f t="shared" si="22"/>
        <v>7.6444423889670139</v>
      </c>
    </row>
    <row r="14" spans="1:62">
      <c r="A14" s="39">
        <v>7</v>
      </c>
      <c r="B14" s="40" t="s">
        <v>25</v>
      </c>
      <c r="C14">
        <v>0.54</v>
      </c>
      <c r="D14" s="45">
        <f t="shared" si="38"/>
        <v>12.751575488474696</v>
      </c>
      <c r="E14">
        <f t="shared" si="23"/>
        <v>11.562512481686449</v>
      </c>
      <c r="F14">
        <f t="shared" si="0"/>
        <v>57.866999369634541</v>
      </c>
      <c r="G14">
        <f t="shared" si="31"/>
        <v>34.933410336825567</v>
      </c>
      <c r="H14">
        <f t="shared" si="1"/>
        <v>960.2085261216281</v>
      </c>
      <c r="J14" s="40" t="s">
        <v>26</v>
      </c>
      <c r="K14">
        <v>0.82699999999999996</v>
      </c>
      <c r="L14" s="46">
        <f t="shared" si="2"/>
        <v>7.8120000000000012</v>
      </c>
      <c r="M14">
        <f t="shared" si="24"/>
        <v>8.6023019416486282</v>
      </c>
      <c r="N14">
        <f t="shared" si="3"/>
        <v>25.255516425678607</v>
      </c>
      <c r="O14">
        <f t="shared" si="32"/>
        <v>34.933410336825567</v>
      </c>
      <c r="P14">
        <f t="shared" si="4"/>
        <v>419.0741263191677</v>
      </c>
      <c r="R14" s="40" t="s">
        <v>27</v>
      </c>
      <c r="S14">
        <v>0.83399999999999996</v>
      </c>
      <c r="T14" s="45">
        <f t="shared" si="5"/>
        <v>5.4032999999999998</v>
      </c>
      <c r="U14">
        <f t="shared" si="25"/>
        <v>6.812547470628509</v>
      </c>
      <c r="V14">
        <f t="shared" si="6"/>
        <v>9.8749241431592978</v>
      </c>
      <c r="W14">
        <f t="shared" si="33"/>
        <v>34.933410336825567</v>
      </c>
      <c r="X14">
        <f t="shared" si="26"/>
        <v>163.85826914055446</v>
      </c>
      <c r="Z14" s="40" t="s">
        <v>28</v>
      </c>
      <c r="AA14">
        <v>0.83</v>
      </c>
      <c r="AB14" s="46">
        <f t="shared" si="7"/>
        <v>6.2496</v>
      </c>
      <c r="AC14">
        <f t="shared" si="27"/>
        <v>4</v>
      </c>
      <c r="AD14">
        <f t="shared" si="8"/>
        <v>7.7651414364523097</v>
      </c>
      <c r="AE14">
        <f t="shared" si="34"/>
        <v>34.933410336825567</v>
      </c>
      <c r="AF14">
        <f t="shared" si="9"/>
        <v>128.84986425846091</v>
      </c>
      <c r="AH14" s="40" t="s">
        <v>29</v>
      </c>
      <c r="AI14">
        <v>0.67500000000000004</v>
      </c>
      <c r="AJ14" s="45">
        <f t="shared" si="35"/>
        <v>12.502248746854677</v>
      </c>
      <c r="AK14">
        <f t="shared" si="28"/>
        <v>11.429136279865288</v>
      </c>
      <c r="AL14">
        <f t="shared" si="10"/>
        <v>68.447482005353919</v>
      </c>
      <c r="AM14">
        <f t="shared" si="36"/>
        <v>34.933410336825567</v>
      </c>
      <c r="AN14">
        <f t="shared" si="11"/>
        <v>1135.7743883223684</v>
      </c>
      <c r="AP14" s="41" t="s">
        <v>23</v>
      </c>
      <c r="AQ14">
        <v>0.6</v>
      </c>
      <c r="AR14" s="46">
        <f t="shared" si="12"/>
        <v>8.2026000000000003</v>
      </c>
      <c r="AS14">
        <f t="shared" si="29"/>
        <v>8.865871945685015</v>
      </c>
      <c r="AT14">
        <f t="shared" si="13"/>
        <v>20.91703955723613</v>
      </c>
      <c r="AU14">
        <f t="shared" si="37"/>
        <v>34.933410336825567</v>
      </c>
      <c r="AV14">
        <f t="shared" si="14"/>
        <v>347.08417479515742</v>
      </c>
      <c r="AX14">
        <f t="shared" si="30"/>
        <v>5.6</v>
      </c>
      <c r="AY14">
        <f t="shared" si="15"/>
        <v>20.552</v>
      </c>
      <c r="AZ14">
        <f t="shared" si="16"/>
        <v>11.578297110673425</v>
      </c>
      <c r="BA14">
        <f t="shared" si="17"/>
        <v>2.7208998210082549</v>
      </c>
      <c r="BB14">
        <f t="shared" si="18"/>
        <v>14.29919693168168</v>
      </c>
      <c r="BC14">
        <f t="shared" si="19"/>
        <v>34.851196931681677</v>
      </c>
      <c r="BH14">
        <f t="shared" si="20"/>
        <v>209.60046202095342</v>
      </c>
      <c r="BI14" s="30">
        <f t="shared" si="21"/>
        <v>8.8202207058882305</v>
      </c>
      <c r="BJ14" s="30">
        <f t="shared" si="22"/>
        <v>8.8202207058882287</v>
      </c>
    </row>
    <row r="15" spans="1:62" ht="19">
      <c r="A15" s="39">
        <v>8</v>
      </c>
      <c r="B15" s="40" t="s">
        <v>25</v>
      </c>
      <c r="C15">
        <v>0.54</v>
      </c>
      <c r="D15" s="45">
        <f t="shared" si="38"/>
        <v>14.153739235809537</v>
      </c>
      <c r="E15">
        <f t="shared" si="23"/>
        <v>12.288027753266014</v>
      </c>
      <c r="F15">
        <f t="shared" si="0"/>
        <v>75.277735798657091</v>
      </c>
      <c r="G15">
        <f t="shared" si="31"/>
        <v>34.758743285141442</v>
      </c>
      <c r="H15">
        <f t="shared" si="1"/>
        <v>1242.8657595133061</v>
      </c>
      <c r="J15" s="40" t="s">
        <v>26</v>
      </c>
      <c r="K15">
        <v>0.82699999999999996</v>
      </c>
      <c r="L15" s="46">
        <f t="shared" si="2"/>
        <v>8.9280000000000008</v>
      </c>
      <c r="M15">
        <f t="shared" si="24"/>
        <v>9.3393977838929576</v>
      </c>
      <c r="N15">
        <f t="shared" si="3"/>
        <v>35.514346231400978</v>
      </c>
      <c r="O15">
        <f t="shared" si="32"/>
        <v>34.758743285141442</v>
      </c>
      <c r="P15">
        <f t="shared" si="4"/>
        <v>586.35617070852607</v>
      </c>
      <c r="R15" s="40" t="s">
        <v>27</v>
      </c>
      <c r="S15">
        <v>0.83399999999999996</v>
      </c>
      <c r="T15" s="45">
        <f t="shared" si="5"/>
        <v>6.1752000000000002</v>
      </c>
      <c r="U15">
        <f t="shared" si="25"/>
        <v>7.4210864484113799</v>
      </c>
      <c r="V15">
        <f t="shared" si="6"/>
        <v>13.931574672864103</v>
      </c>
      <c r="W15">
        <f t="shared" si="33"/>
        <v>34.758743285141442</v>
      </c>
      <c r="X15">
        <f t="shared" si="26"/>
        <v>230.01591311563431</v>
      </c>
      <c r="Z15" s="40" t="s">
        <v>28</v>
      </c>
      <c r="AA15">
        <v>0.83</v>
      </c>
      <c r="AB15" s="46">
        <f t="shared" si="7"/>
        <v>7.1424000000000003</v>
      </c>
      <c r="AC15">
        <f t="shared" si="27"/>
        <v>4</v>
      </c>
      <c r="AD15">
        <f t="shared" si="8"/>
        <v>10.077426771501409</v>
      </c>
      <c r="AE15">
        <f t="shared" si="34"/>
        <v>34.758743285141442</v>
      </c>
      <c r="AF15">
        <f t="shared" si="9"/>
        <v>166.38237780957886</v>
      </c>
      <c r="AH15" s="40" t="s">
        <v>29</v>
      </c>
      <c r="AI15">
        <v>0.67500000000000004</v>
      </c>
      <c r="AJ15" s="45">
        <f t="shared" si="35"/>
        <v>13.787306798171738</v>
      </c>
      <c r="AK15">
        <f t="shared" si="28"/>
        <v>12.102276493370498</v>
      </c>
      <c r="AL15">
        <f t="shared" si="10"/>
        <v>87.61080562375632</v>
      </c>
      <c r="AM15">
        <f t="shared" si="36"/>
        <v>34.758743285141442</v>
      </c>
      <c r="AN15">
        <f t="shared" si="11"/>
        <v>1446.4897132982717</v>
      </c>
      <c r="AP15" s="41" t="s">
        <v>23</v>
      </c>
      <c r="AQ15">
        <v>0.6</v>
      </c>
      <c r="AR15" s="46">
        <f t="shared" si="12"/>
        <v>9.3744000000000014</v>
      </c>
      <c r="AS15">
        <f t="shared" si="29"/>
        <v>9.6212886368425536</v>
      </c>
      <c r="AT15">
        <f t="shared" si="13"/>
        <v>29.400858004574712</v>
      </c>
      <c r="AU15">
        <f t="shared" si="37"/>
        <v>34.758743285141442</v>
      </c>
      <c r="AV15">
        <f t="shared" si="14"/>
        <v>485.42001597835639</v>
      </c>
      <c r="AX15">
        <f t="shared" si="30"/>
        <v>6.3999999999999995</v>
      </c>
      <c r="AY15">
        <f t="shared" si="15"/>
        <v>23.487999999999996</v>
      </c>
      <c r="AZ15">
        <f t="shared" si="16"/>
        <v>15.258134918054882</v>
      </c>
      <c r="BA15">
        <f t="shared" si="17"/>
        <v>3.585661705742897</v>
      </c>
      <c r="BB15">
        <f t="shared" si="18"/>
        <v>18.843796623797779</v>
      </c>
      <c r="BC15">
        <f t="shared" si="19"/>
        <v>42.331796623797771</v>
      </c>
      <c r="BE15" s="38" t="s">
        <v>18</v>
      </c>
      <c r="BF15" t="s">
        <v>103</v>
      </c>
      <c r="BH15">
        <f t="shared" si="20"/>
        <v>208.55245971084864</v>
      </c>
      <c r="BI15">
        <f t="shared" si="21"/>
        <v>9.9268410056635457</v>
      </c>
      <c r="BJ15">
        <f t="shared" si="22"/>
        <v>9.9268410056635457</v>
      </c>
    </row>
    <row r="16" spans="1:62">
      <c r="A16" s="39">
        <v>9</v>
      </c>
      <c r="B16" s="40" t="s">
        <v>25</v>
      </c>
      <c r="C16">
        <v>0.54</v>
      </c>
      <c r="D16" s="45">
        <f t="shared" si="38"/>
        <v>15.390535313514029</v>
      </c>
      <c r="E16">
        <f t="shared" si="23"/>
        <v>12.896539756295356</v>
      </c>
      <c r="F16">
        <f t="shared" si="0"/>
        <v>92.93354222025124</v>
      </c>
      <c r="G16">
        <f t="shared" si="31"/>
        <v>34.584949568715736</v>
      </c>
      <c r="H16">
        <f t="shared" si="1"/>
        <v>1526.6983886915141</v>
      </c>
      <c r="J16" s="40" t="s">
        <v>26</v>
      </c>
      <c r="K16">
        <v>0.82699999999999996</v>
      </c>
      <c r="L16" s="46">
        <f t="shared" si="2"/>
        <v>10.043999999999999</v>
      </c>
      <c r="M16">
        <f t="shared" si="24"/>
        <v>10</v>
      </c>
      <c r="N16">
        <f t="shared" si="3"/>
        <v>47.777379721001829</v>
      </c>
      <c r="O16">
        <f t="shared" si="32"/>
        <v>34.584949568715736</v>
      </c>
      <c r="P16">
        <f t="shared" si="4"/>
        <v>784.87967738370935</v>
      </c>
      <c r="R16" s="40" t="s">
        <v>27</v>
      </c>
      <c r="S16">
        <v>0.83399999999999996</v>
      </c>
      <c r="T16" s="45">
        <f t="shared" si="5"/>
        <v>6.9470999999999998</v>
      </c>
      <c r="U16">
        <f t="shared" si="25"/>
        <v>7.9947712547369969</v>
      </c>
      <c r="V16">
        <f t="shared" si="6"/>
        <v>18.85438440356593</v>
      </c>
      <c r="W16">
        <f t="shared" si="33"/>
        <v>34.584949568715736</v>
      </c>
      <c r="X16">
        <f t="shared" si="26"/>
        <v>309.73701852959141</v>
      </c>
      <c r="Z16" s="40" t="s">
        <v>28</v>
      </c>
      <c r="AA16">
        <v>0.83</v>
      </c>
      <c r="AB16" s="46">
        <f t="shared" si="7"/>
        <v>8.0352000000000015</v>
      </c>
      <c r="AC16">
        <f t="shared" si="27"/>
        <v>4</v>
      </c>
      <c r="AD16">
        <f t="shared" si="8"/>
        <v>12.68233949879243</v>
      </c>
      <c r="AE16">
        <f t="shared" si="34"/>
        <v>34.584949568715736</v>
      </c>
      <c r="AF16">
        <f t="shared" si="9"/>
        <v>208.34358419005719</v>
      </c>
      <c r="AH16" s="40" t="s">
        <v>29</v>
      </c>
      <c r="AI16">
        <v>0.67500000000000004</v>
      </c>
      <c r="AJ16" s="45">
        <f t="shared" si="35"/>
        <v>14.920808331435939</v>
      </c>
      <c r="AK16">
        <f t="shared" si="28"/>
        <v>12.668662753203611</v>
      </c>
      <c r="AL16">
        <f t="shared" si="10"/>
        <v>106.88664693160936</v>
      </c>
      <c r="AM16">
        <f t="shared" si="36"/>
        <v>34.584949568715736</v>
      </c>
      <c r="AN16">
        <f t="shared" si="11"/>
        <v>1755.9179145069461</v>
      </c>
      <c r="AP16" s="41" t="s">
        <v>23</v>
      </c>
      <c r="AQ16">
        <v>0.6</v>
      </c>
      <c r="AR16" s="46">
        <f t="shared" si="12"/>
        <v>10.546200000000001</v>
      </c>
      <c r="AS16">
        <f t="shared" si="29"/>
        <v>10.330462825702858</v>
      </c>
      <c r="AT16">
        <f t="shared" si="13"/>
        <v>39.660207967491807</v>
      </c>
      <c r="AU16">
        <f t="shared" si="37"/>
        <v>34.584949568715736</v>
      </c>
      <c r="AV16">
        <f t="shared" si="14"/>
        <v>651.53198890922897</v>
      </c>
      <c r="AX16">
        <f t="shared" si="30"/>
        <v>7.1999999999999993</v>
      </c>
      <c r="AY16">
        <f t="shared" si="15"/>
        <v>26.423999999999996</v>
      </c>
      <c r="AZ16">
        <f t="shared" si="16"/>
        <v>19.220188460014537</v>
      </c>
      <c r="BA16">
        <f t="shared" si="17"/>
        <v>4.5167442881034159</v>
      </c>
      <c r="BB16">
        <f t="shared" si="18"/>
        <v>23.736932748117951</v>
      </c>
      <c r="BC16">
        <f t="shared" si="19"/>
        <v>50.160932748117943</v>
      </c>
      <c r="BE16">
        <f>BE10-BE13</f>
        <v>1996.2340854180152</v>
      </c>
      <c r="BF16">
        <f>BE16/BE7</f>
        <v>204.3228337172994</v>
      </c>
      <c r="BH16">
        <f t="shared" si="20"/>
        <v>207.5096974122944</v>
      </c>
      <c r="BI16" s="30">
        <f t="shared" si="21"/>
        <v>10.98064060749166</v>
      </c>
      <c r="BJ16" s="30">
        <f t="shared" si="22"/>
        <v>10.980640607491665</v>
      </c>
    </row>
    <row r="17" spans="1:62">
      <c r="A17" s="39">
        <v>10</v>
      </c>
      <c r="B17" s="40" t="s">
        <v>25</v>
      </c>
      <c r="C17">
        <v>0.54</v>
      </c>
      <c r="D17" s="45">
        <f t="shared" si="38"/>
        <v>16.496887105046067</v>
      </c>
      <c r="E17">
        <f t="shared" si="23"/>
        <v>13.418696019758984</v>
      </c>
      <c r="F17">
        <f t="shared" si="0"/>
        <v>110.62297900984979</v>
      </c>
      <c r="G17">
        <f t="shared" si="31"/>
        <v>34.412024820872155</v>
      </c>
      <c r="H17">
        <f t="shared" si="1"/>
        <v>1808.2113322367406</v>
      </c>
      <c r="J17" s="40" t="s">
        <v>26</v>
      </c>
      <c r="K17">
        <v>0.82699999999999996</v>
      </c>
      <c r="L17" s="46">
        <f t="shared" si="2"/>
        <v>11.16</v>
      </c>
      <c r="M17">
        <f t="shared" si="24"/>
        <v>10</v>
      </c>
      <c r="N17">
        <f t="shared" si="3"/>
        <v>58.686870256654473</v>
      </c>
      <c r="O17">
        <f t="shared" si="32"/>
        <v>34.412024820872155</v>
      </c>
      <c r="P17">
        <f t="shared" si="4"/>
        <v>959.2786670673662</v>
      </c>
      <c r="R17" s="40" t="s">
        <v>27</v>
      </c>
      <c r="S17">
        <v>0.83399999999999996</v>
      </c>
      <c r="T17" s="45">
        <f t="shared" si="5"/>
        <v>7.7189999999999994</v>
      </c>
      <c r="U17">
        <f t="shared" si="25"/>
        <v>8</v>
      </c>
      <c r="V17">
        <f t="shared" si="6"/>
        <v>23.174379191611028</v>
      </c>
      <c r="W17">
        <f t="shared" si="33"/>
        <v>34.412024820872155</v>
      </c>
      <c r="X17">
        <f t="shared" si="26"/>
        <v>378.8017231762604</v>
      </c>
      <c r="Z17" s="40" t="s">
        <v>28</v>
      </c>
      <c r="AA17">
        <v>0.83</v>
      </c>
      <c r="AB17" s="46">
        <f t="shared" si="7"/>
        <v>8.9280000000000008</v>
      </c>
      <c r="AC17">
        <f t="shared" si="27"/>
        <v>4</v>
      </c>
      <c r="AD17">
        <f t="shared" si="8"/>
        <v>15.578225868868746</v>
      </c>
      <c r="AE17">
        <f t="shared" si="34"/>
        <v>34.412024820872155</v>
      </c>
      <c r="AF17">
        <f t="shared" si="9"/>
        <v>254.63719025071538</v>
      </c>
      <c r="AH17" s="40" t="s">
        <v>29</v>
      </c>
      <c r="AI17">
        <v>0.67500000000000004</v>
      </c>
      <c r="AJ17" s="45">
        <f t="shared" si="35"/>
        <v>15.93476000434122</v>
      </c>
      <c r="AK17">
        <f t="shared" si="28"/>
        <v>13.1558721993145</v>
      </c>
      <c r="AL17">
        <f t="shared" si="10"/>
        <v>126.08249358094318</v>
      </c>
      <c r="AM17">
        <f t="shared" si="36"/>
        <v>34.412024820872155</v>
      </c>
      <c r="AN17">
        <f t="shared" si="11"/>
        <v>2060.9081018278134</v>
      </c>
      <c r="AP17" s="41" t="s">
        <v>23</v>
      </c>
      <c r="AQ17">
        <v>0.6</v>
      </c>
      <c r="AR17" s="46">
        <f t="shared" si="12"/>
        <v>11.718</v>
      </c>
      <c r="AS17">
        <f t="shared" si="29"/>
        <v>11.000225046861983</v>
      </c>
      <c r="AT17">
        <f t="shared" si="13"/>
        <v>51.796526505851574</v>
      </c>
      <c r="AU17">
        <f t="shared" si="37"/>
        <v>34.412024820872155</v>
      </c>
      <c r="AV17">
        <f t="shared" si="14"/>
        <v>846.65109398330526</v>
      </c>
      <c r="AX17">
        <f t="shared" si="30"/>
        <v>7.9999999999999991</v>
      </c>
      <c r="AY17">
        <f t="shared" si="15"/>
        <v>29.359999999999996</v>
      </c>
      <c r="AZ17">
        <f t="shared" si="16"/>
        <v>23.152151358349879</v>
      </c>
      <c r="BA17">
        <f t="shared" si="17"/>
        <v>5.4407555692122216</v>
      </c>
      <c r="BB17">
        <f t="shared" si="18"/>
        <v>28.592906927562101</v>
      </c>
      <c r="BC17">
        <f t="shared" si="19"/>
        <v>57.952906927562097</v>
      </c>
      <c r="BF17">
        <f>BF16/30</f>
        <v>6.8107611239099803</v>
      </c>
      <c r="BH17">
        <f t="shared" si="20"/>
        <v>206.47214892523291</v>
      </c>
      <c r="BI17">
        <f t="shared" si="21"/>
        <v>11.992774518231215</v>
      </c>
      <c r="BJ17">
        <f t="shared" si="22"/>
        <v>11.992774518231215</v>
      </c>
    </row>
    <row r="18" spans="1:62">
      <c r="A18" s="39">
        <v>11</v>
      </c>
      <c r="B18" s="40" t="s">
        <v>25</v>
      </c>
      <c r="C18">
        <v>0.54</v>
      </c>
      <c r="D18" s="45">
        <f t="shared" si="38"/>
        <v>17.497704038404759</v>
      </c>
      <c r="E18">
        <f t="shared" si="23"/>
        <v>13.874693880077213</v>
      </c>
      <c r="F18">
        <f t="shared" si="0"/>
        <v>128.21548033235658</v>
      </c>
      <c r="G18">
        <f t="shared" si="31"/>
        <v>34.239964696767792</v>
      </c>
      <c r="H18">
        <f t="shared" si="1"/>
        <v>2085.2944220755317</v>
      </c>
      <c r="J18" s="40" t="s">
        <v>26</v>
      </c>
      <c r="K18">
        <v>0.82699999999999996</v>
      </c>
      <c r="L18" s="46">
        <f t="shared" si="2"/>
        <v>12.276</v>
      </c>
      <c r="M18">
        <f t="shared" si="24"/>
        <v>10</v>
      </c>
      <c r="N18">
        <f t="shared" si="3"/>
        <v>70.68698706236961</v>
      </c>
      <c r="O18">
        <f t="shared" si="32"/>
        <v>34.239964696767792</v>
      </c>
      <c r="P18">
        <f t="shared" si="4"/>
        <v>1149.651972229798</v>
      </c>
      <c r="R18" s="40" t="s">
        <v>27</v>
      </c>
      <c r="S18">
        <v>0.83399999999999996</v>
      </c>
      <c r="T18" s="45">
        <f t="shared" si="5"/>
        <v>8.4908999999999999</v>
      </c>
      <c r="U18">
        <f t="shared" si="25"/>
        <v>8</v>
      </c>
      <c r="V18">
        <f t="shared" si="6"/>
        <v>27.913007371697589</v>
      </c>
      <c r="W18">
        <f t="shared" si="33"/>
        <v>34.239964696767792</v>
      </c>
      <c r="X18">
        <f t="shared" si="26"/>
        <v>453.97668381908363</v>
      </c>
      <c r="Z18" s="40" t="s">
        <v>28</v>
      </c>
      <c r="AA18">
        <v>0.83</v>
      </c>
      <c r="AB18" s="46">
        <f t="shared" si="7"/>
        <v>9.8208000000000002</v>
      </c>
      <c r="AC18">
        <f t="shared" si="27"/>
        <v>4</v>
      </c>
      <c r="AD18">
        <f t="shared" si="8"/>
        <v>18.763615194193012</v>
      </c>
      <c r="AE18">
        <f t="shared" si="34"/>
        <v>34.239964696767792</v>
      </c>
      <c r="AF18">
        <f t="shared" si="9"/>
        <v>305.17112287062957</v>
      </c>
      <c r="AH18" s="40" t="s">
        <v>29</v>
      </c>
      <c r="AI18">
        <v>0.67500000000000004</v>
      </c>
      <c r="AJ18" s="45">
        <f t="shared" si="35"/>
        <v>16.851990863113315</v>
      </c>
      <c r="AK18">
        <f t="shared" si="28"/>
        <v>13.582195396567352</v>
      </c>
      <c r="AL18">
        <f t="shared" si="10"/>
        <v>145.08329583462321</v>
      </c>
      <c r="AM18">
        <f t="shared" si="36"/>
        <v>34.239964696767792</v>
      </c>
      <c r="AN18">
        <f t="shared" si="11"/>
        <v>2359.632290547403</v>
      </c>
      <c r="AP18" s="41" t="s">
        <v>23</v>
      </c>
      <c r="AQ18">
        <v>0.6</v>
      </c>
      <c r="AR18" s="46">
        <f t="shared" si="12"/>
        <v>12.889800000000001</v>
      </c>
      <c r="AS18">
        <f t="shared" si="29"/>
        <v>11.635861357976843</v>
      </c>
      <c r="AT18">
        <f t="shared" si="13"/>
        <v>65.903821559490666</v>
      </c>
      <c r="AU18">
        <f t="shared" si="37"/>
        <v>34.239964696767792</v>
      </c>
      <c r="AV18">
        <f t="shared" si="14"/>
        <v>1071.8586487000459</v>
      </c>
      <c r="AX18">
        <f t="shared" si="30"/>
        <v>8.7999999999999989</v>
      </c>
      <c r="AY18">
        <f t="shared" si="15"/>
        <v>32.295999999999992</v>
      </c>
      <c r="AZ18">
        <f t="shared" si="16"/>
        <v>27.251897464689943</v>
      </c>
      <c r="BA18">
        <f t="shared" si="17"/>
        <v>6.4041959042021359</v>
      </c>
      <c r="BB18">
        <f t="shared" si="18"/>
        <v>33.65609336889208</v>
      </c>
      <c r="BC18">
        <f t="shared" si="19"/>
        <v>65.952093368892065</v>
      </c>
      <c r="BH18">
        <f t="shared" si="20"/>
        <v>205.43978818060677</v>
      </c>
      <c r="BI18">
        <f t="shared" si="21"/>
        <v>12.971199150253014</v>
      </c>
      <c r="BJ18">
        <f t="shared" si="22"/>
        <v>12.97119915025301</v>
      </c>
    </row>
    <row r="19" spans="1:62">
      <c r="A19" s="39">
        <v>12</v>
      </c>
      <c r="B19" s="40" t="s">
        <v>25</v>
      </c>
      <c r="C19">
        <v>0.54</v>
      </c>
      <c r="D19" s="45">
        <f t="shared" si="38"/>
        <v>18.411378313963375</v>
      </c>
      <c r="E19">
        <f t="shared" si="23"/>
        <v>14.278513515942258</v>
      </c>
      <c r="F19">
        <f t="shared" si="0"/>
        <v>145.62986274094814</v>
      </c>
      <c r="G19">
        <f t="shared" si="31"/>
        <v>34.068764873283953</v>
      </c>
      <c r="H19">
        <f t="shared" si="1"/>
        <v>2356.6790373187396</v>
      </c>
      <c r="J19" s="40" t="s">
        <v>26</v>
      </c>
      <c r="K19">
        <v>0.82699999999999996</v>
      </c>
      <c r="L19" s="46">
        <f t="shared" si="2"/>
        <v>13.391999999999999</v>
      </c>
      <c r="M19">
        <f t="shared" si="24"/>
        <v>10</v>
      </c>
      <c r="N19">
        <f t="shared" si="3"/>
        <v>83.772744111898277</v>
      </c>
      <c r="O19">
        <f t="shared" si="32"/>
        <v>34.068764873283953</v>
      </c>
      <c r="P19">
        <f t="shared" si="4"/>
        <v>1355.6661129205715</v>
      </c>
      <c r="R19" s="40" t="s">
        <v>27</v>
      </c>
      <c r="S19">
        <v>0.83399999999999996</v>
      </c>
      <c r="T19" s="45">
        <f t="shared" si="5"/>
        <v>9.2628000000000004</v>
      </c>
      <c r="U19">
        <f t="shared" si="25"/>
        <v>8</v>
      </c>
      <c r="V19">
        <f t="shared" si="6"/>
        <v>33.080335166634654</v>
      </c>
      <c r="W19">
        <f t="shared" si="33"/>
        <v>34.068764873283953</v>
      </c>
      <c r="X19">
        <f t="shared" si="26"/>
        <v>535.32792634271368</v>
      </c>
      <c r="Z19" s="40" t="s">
        <v>28</v>
      </c>
      <c r="AA19">
        <v>0.83</v>
      </c>
      <c r="AB19" s="46">
        <f t="shared" si="7"/>
        <v>10.7136</v>
      </c>
      <c r="AC19">
        <f t="shared" si="27"/>
        <v>4</v>
      </c>
      <c r="AD19">
        <f t="shared" si="8"/>
        <v>22.237183951415741</v>
      </c>
      <c r="AE19">
        <f t="shared" si="34"/>
        <v>34.068764873283953</v>
      </c>
      <c r="AF19">
        <f t="shared" si="9"/>
        <v>359.85686095525443</v>
      </c>
      <c r="AH19" s="40" t="s">
        <v>29</v>
      </c>
      <c r="AI19">
        <v>0.67500000000000004</v>
      </c>
      <c r="AJ19" s="45">
        <f t="shared" si="35"/>
        <v>17.689357031165791</v>
      </c>
      <c r="AK19">
        <f t="shared" si="28"/>
        <v>13.96035481220796</v>
      </c>
      <c r="AL19">
        <f t="shared" si="10"/>
        <v>163.82055944635707</v>
      </c>
      <c r="AM19">
        <f t="shared" si="36"/>
        <v>34.068764873283953</v>
      </c>
      <c r="AN19">
        <f t="shared" si="11"/>
        <v>2651.0529575641931</v>
      </c>
      <c r="AP19" s="41" t="s">
        <v>23</v>
      </c>
      <c r="AQ19">
        <v>0.6</v>
      </c>
      <c r="AR19" s="46">
        <f t="shared" si="12"/>
        <v>14.061600000000002</v>
      </c>
      <c r="AS19">
        <f t="shared" si="29"/>
        <v>12.241565924833123</v>
      </c>
      <c r="AT19">
        <f t="shared" si="13"/>
        <v>82.069801847683962</v>
      </c>
      <c r="AU19">
        <f t="shared" si="37"/>
        <v>34.068764873283953</v>
      </c>
      <c r="AV19">
        <f t="shared" si="14"/>
        <v>1328.1079716142312</v>
      </c>
      <c r="AX19">
        <f t="shared" si="30"/>
        <v>9.6</v>
      </c>
      <c r="AY19">
        <f t="shared" si="15"/>
        <v>35.231999999999999</v>
      </c>
      <c r="AZ19">
        <f t="shared" si="16"/>
        <v>31.513155480846631</v>
      </c>
      <c r="BA19">
        <f t="shared" si="17"/>
        <v>7.4055915379989576</v>
      </c>
      <c r="BB19">
        <f t="shared" si="18"/>
        <v>38.918747018845586</v>
      </c>
      <c r="BC19">
        <f t="shared" si="19"/>
        <v>74.150747018845578</v>
      </c>
      <c r="BH19">
        <f t="shared" si="20"/>
        <v>204.41258923970372</v>
      </c>
      <c r="BI19" s="30">
        <f t="shared" si="21"/>
        <v>13.921789224188194</v>
      </c>
      <c r="BJ19" s="30">
        <f t="shared" si="22"/>
        <v>13.921789224188196</v>
      </c>
    </row>
    <row r="20" spans="1:62">
      <c r="A20" s="39">
        <v>13</v>
      </c>
      <c r="B20" s="40" t="s">
        <v>25</v>
      </c>
      <c r="C20">
        <v>0.54</v>
      </c>
      <c r="D20" s="45">
        <f t="shared" si="38"/>
        <v>19.25187717144134</v>
      </c>
      <c r="E20">
        <f t="shared" si="23"/>
        <v>14.6402116670026</v>
      </c>
      <c r="F20">
        <f t="shared" si="0"/>
        <v>162.81598818689812</v>
      </c>
      <c r="G20">
        <f t="shared" si="31"/>
        <v>33.898421048917534</v>
      </c>
      <c r="H20">
        <f t="shared" si="1"/>
        <v>2621.6223375011514</v>
      </c>
      <c r="J20" s="40" t="s">
        <v>26</v>
      </c>
      <c r="K20">
        <v>0.82699999999999996</v>
      </c>
      <c r="L20" s="46">
        <f t="shared" si="2"/>
        <v>14.508000000000001</v>
      </c>
      <c r="M20">
        <f t="shared" si="24"/>
        <v>10</v>
      </c>
      <c r="N20">
        <f t="shared" si="3"/>
        <v>97.939610633079951</v>
      </c>
      <c r="O20">
        <f t="shared" si="32"/>
        <v>33.898421048917534</v>
      </c>
      <c r="P20">
        <f t="shared" si="4"/>
        <v>1576.9991253384128</v>
      </c>
      <c r="R20" s="40" t="s">
        <v>27</v>
      </c>
      <c r="S20">
        <v>0.83399999999999996</v>
      </c>
      <c r="T20" s="45">
        <f t="shared" si="5"/>
        <v>10.034699999999999</v>
      </c>
      <c r="U20">
        <f t="shared" si="25"/>
        <v>8</v>
      </c>
      <c r="V20">
        <f t="shared" si="6"/>
        <v>38.674573456783939</v>
      </c>
      <c r="W20">
        <f t="shared" si="33"/>
        <v>33.898421048917534</v>
      </c>
      <c r="X20">
        <f t="shared" si="26"/>
        <v>622.72831308954221</v>
      </c>
      <c r="Z20" s="40" t="s">
        <v>28</v>
      </c>
      <c r="AA20">
        <v>0.83</v>
      </c>
      <c r="AB20" s="46">
        <f t="shared" si="7"/>
        <v>11.606400000000001</v>
      </c>
      <c r="AC20">
        <f t="shared" si="27"/>
        <v>4</v>
      </c>
      <c r="AD20">
        <f t="shared" si="8"/>
        <v>25.997729462803917</v>
      </c>
      <c r="AE20">
        <f t="shared" si="34"/>
        <v>33.898421048917534</v>
      </c>
      <c r="AF20">
        <f t="shared" si="9"/>
        <v>418.60894033183854</v>
      </c>
      <c r="AH20" s="40" t="s">
        <v>29</v>
      </c>
      <c r="AI20">
        <v>0.67500000000000004</v>
      </c>
      <c r="AJ20" s="45">
        <f t="shared" si="35"/>
        <v>18.459659234441144</v>
      </c>
      <c r="AK20">
        <f t="shared" si="28"/>
        <v>14.299538088674256</v>
      </c>
      <c r="AL20">
        <f t="shared" si="10"/>
        <v>182.25457962307632</v>
      </c>
      <c r="AM20">
        <f t="shared" si="36"/>
        <v>33.898421048917534</v>
      </c>
      <c r="AN20">
        <f t="shared" si="11"/>
        <v>2934.6176771243408</v>
      </c>
      <c r="AP20" s="41" t="s">
        <v>23</v>
      </c>
      <c r="AQ20">
        <v>0.6</v>
      </c>
      <c r="AR20" s="46">
        <f t="shared" si="12"/>
        <v>15.2334</v>
      </c>
      <c r="AS20">
        <f t="shared" si="29"/>
        <v>12.820735191957533</v>
      </c>
      <c r="AT20">
        <f t="shared" si="13"/>
        <v>100.3767540947417</v>
      </c>
      <c r="AU20">
        <f t="shared" si="37"/>
        <v>33.898421048917534</v>
      </c>
      <c r="AV20">
        <f t="shared" si="14"/>
        <v>1616.2414000679253</v>
      </c>
      <c r="AX20">
        <f t="shared" si="30"/>
        <v>10.4</v>
      </c>
      <c r="AY20">
        <f t="shared" si="15"/>
        <v>38.167999999999999</v>
      </c>
      <c r="AZ20">
        <f t="shared" si="16"/>
        <v>35.932301301973283</v>
      </c>
      <c r="BA20">
        <f t="shared" si="17"/>
        <v>8.4440908059637216</v>
      </c>
      <c r="BB20">
        <f t="shared" si="18"/>
        <v>44.376392107937008</v>
      </c>
      <c r="BC20">
        <f t="shared" si="19"/>
        <v>82.544392107937</v>
      </c>
      <c r="BH20">
        <f t="shared" si="20"/>
        <v>203.39052629350519</v>
      </c>
      <c r="BI20">
        <f t="shared" si="21"/>
        <v>14.849006067647082</v>
      </c>
      <c r="BJ20">
        <f t="shared" si="22"/>
        <v>14.849006067647084</v>
      </c>
    </row>
    <row r="21" spans="1:62">
      <c r="A21" s="39">
        <v>14</v>
      </c>
      <c r="B21" s="40" t="s">
        <v>25</v>
      </c>
      <c r="C21">
        <v>0.54</v>
      </c>
      <c r="D21" s="45">
        <f t="shared" si="38"/>
        <v>20.030057567077868</v>
      </c>
      <c r="E21">
        <f t="shared" si="23"/>
        <v>14.967251141154106</v>
      </c>
      <c r="F21">
        <f t="shared" si="0"/>
        <v>179.7436928592638</v>
      </c>
      <c r="G21">
        <f t="shared" si="31"/>
        <v>33.728928943672948</v>
      </c>
      <c r="H21">
        <f t="shared" si="1"/>
        <v>2879.7170661486543</v>
      </c>
      <c r="J21" s="40" t="s">
        <v>26</v>
      </c>
      <c r="K21">
        <v>0.82699999999999996</v>
      </c>
      <c r="L21" s="46">
        <f t="shared" si="2"/>
        <v>15.624000000000002</v>
      </c>
      <c r="M21">
        <f t="shared" si="24"/>
        <v>10</v>
      </c>
      <c r="N21">
        <f t="shared" si="3"/>
        <v>113.18343626827794</v>
      </c>
      <c r="O21">
        <f t="shared" si="32"/>
        <v>33.728928943672948</v>
      </c>
      <c r="P21">
        <f t="shared" si="4"/>
        <v>1813.3391377594039</v>
      </c>
      <c r="R21" s="40" t="s">
        <v>27</v>
      </c>
      <c r="S21">
        <v>0.83399999999999996</v>
      </c>
      <c r="T21" s="45">
        <f t="shared" si="5"/>
        <v>10.8066</v>
      </c>
      <c r="U21">
        <f t="shared" si="25"/>
        <v>8</v>
      </c>
      <c r="V21">
        <f t="shared" si="6"/>
        <v>44.694083341293783</v>
      </c>
      <c r="W21">
        <f t="shared" si="33"/>
        <v>33.728928943672948</v>
      </c>
      <c r="X21">
        <f t="shared" si="26"/>
        <v>716.05469158001995</v>
      </c>
      <c r="Z21" s="40" t="s">
        <v>28</v>
      </c>
      <c r="AA21">
        <v>0.83</v>
      </c>
      <c r="AB21" s="46">
        <f t="shared" si="7"/>
        <v>12.4992</v>
      </c>
      <c r="AC21">
        <f t="shared" si="27"/>
        <v>4</v>
      </c>
      <c r="AD21">
        <f t="shared" si="8"/>
        <v>30.044150030338596</v>
      </c>
      <c r="AE21">
        <f t="shared" si="34"/>
        <v>33.728928943672948</v>
      </c>
      <c r="AF21">
        <f t="shared" si="9"/>
        <v>481.34457573451147</v>
      </c>
      <c r="AH21" s="40" t="s">
        <v>29</v>
      </c>
      <c r="AI21">
        <v>0.67500000000000004</v>
      </c>
      <c r="AJ21" s="45">
        <f t="shared" si="35"/>
        <v>19.172847679578592</v>
      </c>
      <c r="AK21">
        <f t="shared" si="28"/>
        <v>14.60658479924488</v>
      </c>
      <c r="AL21">
        <f t="shared" si="10"/>
        <v>200.36384099779482</v>
      </c>
      <c r="AM21">
        <f t="shared" si="36"/>
        <v>33.728928943672948</v>
      </c>
      <c r="AN21">
        <f t="shared" si="11"/>
        <v>3210.0774340506027</v>
      </c>
      <c r="AP21" s="41" t="s">
        <v>23</v>
      </c>
      <c r="AQ21">
        <v>0.6</v>
      </c>
      <c r="AR21" s="46">
        <f t="shared" si="12"/>
        <v>16.405200000000001</v>
      </c>
      <c r="AS21">
        <f t="shared" si="29"/>
        <v>13.376166828123095</v>
      </c>
      <c r="AT21">
        <f t="shared" si="13"/>
        <v>120.90223973529106</v>
      </c>
      <c r="AU21">
        <f t="shared" si="37"/>
        <v>33.728928943672948</v>
      </c>
      <c r="AV21">
        <f t="shared" si="14"/>
        <v>1937.0039502522086</v>
      </c>
      <c r="AX21">
        <f t="shared" si="30"/>
        <v>11.200000000000001</v>
      </c>
      <c r="AY21">
        <f t="shared" si="15"/>
        <v>41.104000000000006</v>
      </c>
      <c r="AZ21">
        <f t="shared" si="16"/>
        <v>40.507760259778216</v>
      </c>
      <c r="BA21">
        <f t="shared" si="17"/>
        <v>9.5193236610478795</v>
      </c>
      <c r="BB21">
        <f t="shared" si="18"/>
        <v>50.027083920826094</v>
      </c>
      <c r="BC21">
        <f t="shared" si="19"/>
        <v>91.1310839208261</v>
      </c>
      <c r="BH21">
        <f t="shared" si="20"/>
        <v>202.37357366203767</v>
      </c>
      <c r="BI21">
        <f t="shared" si="21"/>
        <v>15.756317541109411</v>
      </c>
      <c r="BJ21">
        <f t="shared" si="22"/>
        <v>15.756317541109413</v>
      </c>
    </row>
    <row r="22" spans="1:62">
      <c r="A22" s="39">
        <v>15</v>
      </c>
      <c r="B22" s="40" t="s">
        <v>25</v>
      </c>
      <c r="C22">
        <v>0.54</v>
      </c>
      <c r="D22" s="45">
        <f t="shared" si="38"/>
        <v>20.7545261831999</v>
      </c>
      <c r="E22">
        <f t="shared" si="23"/>
        <v>15.265313768315215</v>
      </c>
      <c r="F22">
        <f t="shared" si="0"/>
        <v>196.39589323218738</v>
      </c>
      <c r="G22">
        <f t="shared" si="31"/>
        <v>33.560284298954585</v>
      </c>
      <c r="H22">
        <f t="shared" si="1"/>
        <v>3130.7734557091858</v>
      </c>
      <c r="J22" s="40" t="s">
        <v>26</v>
      </c>
      <c r="K22">
        <v>0.82699999999999996</v>
      </c>
      <c r="L22" s="46">
        <f t="shared" si="2"/>
        <v>16.740000000000002</v>
      </c>
      <c r="M22">
        <f t="shared" si="24"/>
        <v>10</v>
      </c>
      <c r="N22">
        <f t="shared" si="3"/>
        <v>129.50039320758682</v>
      </c>
      <c r="O22">
        <f t="shared" si="32"/>
        <v>33.560284298954585</v>
      </c>
      <c r="P22">
        <f t="shared" si="4"/>
        <v>2064.3832561146851</v>
      </c>
      <c r="R22" s="40" t="s">
        <v>27</v>
      </c>
      <c r="S22">
        <v>0.83399999999999996</v>
      </c>
      <c r="T22" s="45">
        <f t="shared" si="5"/>
        <v>11.5785</v>
      </c>
      <c r="U22">
        <f t="shared" si="25"/>
        <v>8</v>
      </c>
      <c r="V22">
        <f t="shared" si="6"/>
        <v>51.137353287553388</v>
      </c>
      <c r="W22">
        <f t="shared" si="33"/>
        <v>33.560284298954585</v>
      </c>
      <c r="X22">
        <f t="shared" si="26"/>
        <v>815.18745444752653</v>
      </c>
      <c r="Z22" s="40" t="s">
        <v>28</v>
      </c>
      <c r="AA22">
        <v>0.83</v>
      </c>
      <c r="AB22" s="46">
        <f t="shared" si="7"/>
        <v>13.391999999999999</v>
      </c>
      <c r="AC22">
        <f t="shared" si="27"/>
        <v>4</v>
      </c>
      <c r="AD22">
        <f t="shared" si="8"/>
        <v>34.375429575175772</v>
      </c>
      <c r="AE22">
        <f t="shared" si="34"/>
        <v>33.560284298954585</v>
      </c>
      <c r="AF22">
        <f t="shared" si="9"/>
        <v>547.98336498475555</v>
      </c>
      <c r="AH22" s="40" t="s">
        <v>29</v>
      </c>
      <c r="AI22">
        <v>0.67500000000000004</v>
      </c>
      <c r="AJ22" s="45">
        <f t="shared" si="35"/>
        <v>19.836810237335275</v>
      </c>
      <c r="AK22">
        <f t="shared" si="28"/>
        <v>14.886716120856725</v>
      </c>
      <c r="AL22">
        <f t="shared" si="10"/>
        <v>218.13849317001043</v>
      </c>
      <c r="AM22">
        <f t="shared" si="36"/>
        <v>33.560284298954585</v>
      </c>
      <c r="AN22">
        <f t="shared" si="11"/>
        <v>3477.3751774822786</v>
      </c>
      <c r="AP22" s="41" t="s">
        <v>23</v>
      </c>
      <c r="AQ22">
        <v>0.6</v>
      </c>
      <c r="AR22" s="46">
        <f t="shared" si="12"/>
        <v>17.576999999999998</v>
      </c>
      <c r="AS22">
        <f t="shared" si="29"/>
        <v>13.910198760198945</v>
      </c>
      <c r="AT22">
        <f t="shared" si="13"/>
        <v>143.71965878871572</v>
      </c>
      <c r="AU22">
        <f t="shared" si="37"/>
        <v>33.560284298954585</v>
      </c>
      <c r="AV22">
        <f t="shared" si="14"/>
        <v>2291.0544889415719</v>
      </c>
      <c r="AX22">
        <f t="shared" si="30"/>
        <v>12.000000000000002</v>
      </c>
      <c r="AY22">
        <f t="shared" si="15"/>
        <v>44.040000000000006</v>
      </c>
      <c r="AZ22">
        <f t="shared" si="16"/>
        <v>45.239198915485602</v>
      </c>
      <c r="BA22">
        <f t="shared" si="17"/>
        <v>10.631211745139115</v>
      </c>
      <c r="BB22">
        <f t="shared" si="18"/>
        <v>55.870410660624714</v>
      </c>
      <c r="BC22">
        <f t="shared" si="19"/>
        <v>99.91041066062472</v>
      </c>
      <c r="BH22">
        <f t="shared" si="20"/>
        <v>201.36170579372748</v>
      </c>
      <c r="BI22" s="30">
        <f t="shared" si="21"/>
        <v>16.646472736755861</v>
      </c>
      <c r="BJ22" s="30">
        <f t="shared" si="22"/>
        <v>16.646472736755864</v>
      </c>
    </row>
    <row r="23" spans="1:62">
      <c r="A23" s="39">
        <v>16</v>
      </c>
      <c r="B23" s="40" t="s">
        <v>25</v>
      </c>
      <c r="C23">
        <v>0.54</v>
      </c>
      <c r="D23" s="45">
        <f t="shared" si="38"/>
        <v>21.432221314412715</v>
      </c>
      <c r="E23">
        <f t="shared" si="23"/>
        <v>15.538819653032037</v>
      </c>
      <c r="F23">
        <f t="shared" si="0"/>
        <v>212.76417953336323</v>
      </c>
      <c r="G23">
        <f t="shared" si="31"/>
        <v>33.392482877459813</v>
      </c>
      <c r="H23">
        <f t="shared" si="1"/>
        <v>3374.7440054521931</v>
      </c>
      <c r="J23" s="40" t="s">
        <v>26</v>
      </c>
      <c r="K23">
        <v>0.82699999999999996</v>
      </c>
      <c r="L23" s="46">
        <f t="shared" si="2"/>
        <v>17.856000000000002</v>
      </c>
      <c r="M23">
        <f t="shared" si="24"/>
        <v>10</v>
      </c>
      <c r="N23">
        <f t="shared" si="3"/>
        <v>146.88693053111686</v>
      </c>
      <c r="O23">
        <f t="shared" si="32"/>
        <v>33.392482877459813</v>
      </c>
      <c r="P23">
        <f t="shared" si="4"/>
        <v>2329.8366735244003</v>
      </c>
      <c r="R23" s="40" t="s">
        <v>27</v>
      </c>
      <c r="S23">
        <v>0.83399999999999996</v>
      </c>
      <c r="T23" s="45">
        <f t="shared" si="5"/>
        <v>12.3504</v>
      </c>
      <c r="U23">
        <f t="shared" si="25"/>
        <v>8</v>
      </c>
      <c r="V23">
        <f t="shared" si="6"/>
        <v>58.002981101789963</v>
      </c>
      <c r="W23">
        <f t="shared" si="33"/>
        <v>33.392482877459813</v>
      </c>
      <c r="X23">
        <f t="shared" si="26"/>
        <v>920.0101878094946</v>
      </c>
      <c r="Z23" s="40" t="s">
        <v>28</v>
      </c>
      <c r="AA23">
        <v>0.83</v>
      </c>
      <c r="AB23" s="46">
        <f t="shared" si="7"/>
        <v>14.284800000000001</v>
      </c>
      <c r="AC23">
        <f t="shared" si="27"/>
        <v>4</v>
      </c>
      <c r="AD23">
        <f t="shared" si="8"/>
        <v>38.990625517964254</v>
      </c>
      <c r="AE23">
        <f t="shared" si="34"/>
        <v>33.392482877459813</v>
      </c>
      <c r="AF23">
        <f t="shared" si="9"/>
        <v>618.44705262028276</v>
      </c>
      <c r="AH23" s="40" t="s">
        <v>29</v>
      </c>
      <c r="AI23">
        <v>0.67500000000000004</v>
      </c>
      <c r="AJ23" s="45">
        <f t="shared" si="35"/>
        <v>20.45790573089565</v>
      </c>
      <c r="AK23">
        <f t="shared" si="28"/>
        <v>15.144002991533222</v>
      </c>
      <c r="AL23">
        <f t="shared" si="10"/>
        <v>235.57622959191133</v>
      </c>
      <c r="AM23">
        <f t="shared" si="36"/>
        <v>33.392482877459813</v>
      </c>
      <c r="AN23">
        <f t="shared" si="11"/>
        <v>3736.5757261676094</v>
      </c>
      <c r="AP23" s="41" t="s">
        <v>23</v>
      </c>
      <c r="AQ23">
        <v>0.6</v>
      </c>
      <c r="AR23" s="46">
        <f t="shared" si="12"/>
        <v>18.748800000000003</v>
      </c>
      <c r="AS23">
        <f t="shared" si="29"/>
        <v>14.424809057927686</v>
      </c>
      <c r="AT23">
        <f t="shared" si="13"/>
        <v>168.89871355933315</v>
      </c>
      <c r="AU23">
        <f t="shared" si="37"/>
        <v>33.392482877459813</v>
      </c>
      <c r="AV23">
        <f t="shared" si="14"/>
        <v>2678.9750152636352</v>
      </c>
      <c r="AX23">
        <f t="shared" si="30"/>
        <v>12.800000000000002</v>
      </c>
      <c r="AY23">
        <f t="shared" si="15"/>
        <v>46.976000000000006</v>
      </c>
      <c r="AZ23">
        <f t="shared" si="16"/>
        <v>50.127020385274051</v>
      </c>
      <c r="BA23">
        <f t="shared" si="17"/>
        <v>11.779849790539402</v>
      </c>
      <c r="BB23">
        <f t="shared" si="18"/>
        <v>61.906870175813452</v>
      </c>
      <c r="BC23">
        <f t="shared" si="19"/>
        <v>108.88287017581345</v>
      </c>
      <c r="BH23">
        <f t="shared" si="20"/>
        <v>200.3548972647589</v>
      </c>
      <c r="BI23">
        <f t="shared" si="21"/>
        <v>17.521687840884727</v>
      </c>
      <c r="BJ23">
        <f t="shared" si="22"/>
        <v>17.521687840884727</v>
      </c>
    </row>
    <row r="24" spans="1:62">
      <c r="A24" s="39">
        <v>17</v>
      </c>
      <c r="B24" s="40" t="s">
        <v>25</v>
      </c>
      <c r="C24">
        <v>0.54</v>
      </c>
      <c r="D24" s="45">
        <f t="shared" si="38"/>
        <v>22.068818036997026</v>
      </c>
      <c r="E24">
        <f t="shared" si="23"/>
        <v>15.79127109665221</v>
      </c>
      <c r="F24">
        <f t="shared" si="0"/>
        <v>228.84593640566257</v>
      </c>
      <c r="G24">
        <f t="shared" si="31"/>
        <v>33.225520463072513</v>
      </c>
      <c r="H24">
        <f t="shared" si="1"/>
        <v>3611.6745378952328</v>
      </c>
      <c r="J24" s="40" t="s">
        <v>26</v>
      </c>
      <c r="K24">
        <v>0.82699999999999996</v>
      </c>
      <c r="L24" s="46">
        <f t="shared" si="2"/>
        <v>18.972000000000001</v>
      </c>
      <c r="M24">
        <f t="shared" si="24"/>
        <v>10</v>
      </c>
      <c r="N24">
        <f t="shared" si="3"/>
        <v>165.33973755746391</v>
      </c>
      <c r="O24">
        <f t="shared" si="32"/>
        <v>33.225520463072513</v>
      </c>
      <c r="P24">
        <f t="shared" si="4"/>
        <v>2609.4119459479139</v>
      </c>
      <c r="R24" s="40" t="s">
        <v>27</v>
      </c>
      <c r="S24">
        <v>0.83399999999999996</v>
      </c>
      <c r="T24" s="45">
        <f t="shared" si="5"/>
        <v>13.122300000000001</v>
      </c>
      <c r="U24">
        <f t="shared" si="25"/>
        <v>8</v>
      </c>
      <c r="V24">
        <f t="shared" si="6"/>
        <v>65.289659456045968</v>
      </c>
      <c r="W24">
        <f t="shared" si="33"/>
        <v>33.225520463072513</v>
      </c>
      <c r="X24">
        <f t="shared" si="26"/>
        <v>1030.4093852348483</v>
      </c>
      <c r="Z24" s="40" t="s">
        <v>28</v>
      </c>
      <c r="AA24">
        <v>0.83</v>
      </c>
      <c r="AB24" s="46">
        <f t="shared" si="7"/>
        <v>15.177600000000002</v>
      </c>
      <c r="AC24">
        <f t="shared" si="27"/>
        <v>4</v>
      </c>
      <c r="AD24">
        <f t="shared" si="8"/>
        <v>43.888859049824596</v>
      </c>
      <c r="AE24">
        <f t="shared" si="34"/>
        <v>33.225520463072513</v>
      </c>
      <c r="AF24">
        <f t="shared" si="9"/>
        <v>692.65933761890483</v>
      </c>
      <c r="AH24" s="40" t="s">
        <v>29</v>
      </c>
      <c r="AI24">
        <v>0.67500000000000004</v>
      </c>
      <c r="AJ24" s="45">
        <f t="shared" si="35"/>
        <v>21.041335266393169</v>
      </c>
      <c r="AK24">
        <f t="shared" si="28"/>
        <v>15.381677353823644</v>
      </c>
      <c r="AL24">
        <f t="shared" si="10"/>
        <v>252.67962842345005</v>
      </c>
      <c r="AM24">
        <f t="shared" si="36"/>
        <v>33.225520463072513</v>
      </c>
      <c r="AN24">
        <f t="shared" si="11"/>
        <v>3987.8207782728268</v>
      </c>
      <c r="AP24" s="41" t="s">
        <v>23</v>
      </c>
      <c r="AQ24">
        <v>0.6</v>
      </c>
      <c r="AR24" s="46">
        <f t="shared" si="12"/>
        <v>19.920600000000004</v>
      </c>
      <c r="AS24">
        <f t="shared" si="29"/>
        <v>14.921689404974222</v>
      </c>
      <c r="AT24">
        <f t="shared" si="13"/>
        <v>196.50579519819286</v>
      </c>
      <c r="AU24">
        <f t="shared" si="37"/>
        <v>33.225520463072513</v>
      </c>
      <c r="AV24">
        <f t="shared" si="14"/>
        <v>3101.2784767481994</v>
      </c>
      <c r="AX24">
        <f t="shared" si="30"/>
        <v>13.600000000000003</v>
      </c>
      <c r="AY24">
        <f t="shared" si="15"/>
        <v>49.912000000000013</v>
      </c>
      <c r="AZ24">
        <f t="shared" si="16"/>
        <v>55.17204387450478</v>
      </c>
      <c r="BA24">
        <f t="shared" si="17"/>
        <v>12.965430310508623</v>
      </c>
      <c r="BB24">
        <f t="shared" si="18"/>
        <v>68.137474185013403</v>
      </c>
      <c r="BC24">
        <f t="shared" si="19"/>
        <v>118.04947418501342</v>
      </c>
      <c r="BH24">
        <f t="shared" si="20"/>
        <v>199.35312277843508</v>
      </c>
      <c r="BI24">
        <f t="shared" si="21"/>
        <v>18.383775550565034</v>
      </c>
      <c r="BJ24">
        <f t="shared" si="22"/>
        <v>18.383775550565034</v>
      </c>
    </row>
    <row r="25" spans="1:62">
      <c r="A25" s="39">
        <v>18</v>
      </c>
      <c r="B25" s="40" t="s">
        <v>25</v>
      </c>
      <c r="C25">
        <v>0.54</v>
      </c>
      <c r="D25" s="45">
        <f t="shared" si="38"/>
        <v>22.669017392117201</v>
      </c>
      <c r="E25">
        <f t="shared" si="23"/>
        <v>16.02548750295103</v>
      </c>
      <c r="F25">
        <f t="shared" si="0"/>
        <v>244.64242646334893</v>
      </c>
      <c r="G25">
        <f t="shared" si="31"/>
        <v>33.05939286075715</v>
      </c>
      <c r="H25">
        <f t="shared" si="1"/>
        <v>3841.6717912588529</v>
      </c>
      <c r="J25" s="40" t="s">
        <v>26</v>
      </c>
      <c r="K25">
        <v>0.82699999999999996</v>
      </c>
      <c r="L25" s="46">
        <f t="shared" si="2"/>
        <v>20.087999999999997</v>
      </c>
      <c r="M25">
        <f t="shared" si="24"/>
        <v>10</v>
      </c>
      <c r="N25">
        <f t="shared" si="3"/>
        <v>184.8557139804071</v>
      </c>
      <c r="O25">
        <f t="shared" si="32"/>
        <v>33.05939286075715</v>
      </c>
      <c r="P25">
        <f t="shared" si="4"/>
        <v>2902.828393741167</v>
      </c>
      <c r="R25" s="40" t="s">
        <v>27</v>
      </c>
      <c r="S25">
        <v>0.83399999999999996</v>
      </c>
      <c r="T25" s="45">
        <f t="shared" si="5"/>
        <v>13.8942</v>
      </c>
      <c r="U25">
        <f t="shared" si="25"/>
        <v>8</v>
      </c>
      <c r="V25">
        <f t="shared" si="6"/>
        <v>72.99616409570244</v>
      </c>
      <c r="W25">
        <f t="shared" si="33"/>
        <v>33.05939286075715</v>
      </c>
      <c r="X25">
        <f t="shared" si="26"/>
        <v>1146.2742114298583</v>
      </c>
      <c r="Z25" s="40" t="s">
        <v>28</v>
      </c>
      <c r="AA25">
        <v>0.83</v>
      </c>
      <c r="AB25" s="46">
        <f t="shared" si="7"/>
        <v>16.070400000000003</v>
      </c>
      <c r="AC25">
        <f t="shared" si="27"/>
        <v>4</v>
      </c>
      <c r="AD25">
        <f t="shared" si="8"/>
        <v>49.069307205238964</v>
      </c>
      <c r="AE25">
        <f t="shared" si="34"/>
        <v>33.05939286075715</v>
      </c>
      <c r="AF25">
        <f t="shared" si="9"/>
        <v>770.54571454400866</v>
      </c>
      <c r="AH25" s="40" t="s">
        <v>29</v>
      </c>
      <c r="AI25">
        <v>0.67500000000000004</v>
      </c>
      <c r="AJ25" s="45">
        <f t="shared" si="35"/>
        <v>21.591407264159848</v>
      </c>
      <c r="AK25">
        <f t="shared" si="28"/>
        <v>15.60234541724947</v>
      </c>
      <c r="AL25">
        <f t="shared" si="10"/>
        <v>269.45440677238594</v>
      </c>
      <c r="AM25">
        <f t="shared" si="36"/>
        <v>33.05939286075715</v>
      </c>
      <c r="AN25">
        <f t="shared" si="11"/>
        <v>4231.29956848652</v>
      </c>
      <c r="AP25" s="41" t="s">
        <v>23</v>
      </c>
      <c r="AQ25">
        <v>0.6</v>
      </c>
      <c r="AR25" s="46">
        <f t="shared" si="12"/>
        <v>21.092400000000001</v>
      </c>
      <c r="AS25">
        <f t="shared" si="29"/>
        <v>15.402300253381059</v>
      </c>
      <c r="AT25">
        <f t="shared" si="13"/>
        <v>226.60430979137314</v>
      </c>
      <c r="AU25">
        <f t="shared" si="37"/>
        <v>33.05939286075715</v>
      </c>
      <c r="AV25">
        <f t="shared" si="14"/>
        <v>3558.4154281335182</v>
      </c>
      <c r="AX25">
        <f t="shared" si="30"/>
        <v>14.400000000000004</v>
      </c>
      <c r="AY25">
        <f t="shared" si="15"/>
        <v>52.848000000000013</v>
      </c>
      <c r="AZ25">
        <f t="shared" si="16"/>
        <v>60.375298844869704</v>
      </c>
      <c r="BA25">
        <f t="shared" si="17"/>
        <v>14.18819522854438</v>
      </c>
      <c r="BB25">
        <f t="shared" si="18"/>
        <v>74.563494073414091</v>
      </c>
      <c r="BC25">
        <f t="shared" si="19"/>
        <v>127.4114940734141</v>
      </c>
      <c r="BH25">
        <f t="shared" si="20"/>
        <v>198.35635716454291</v>
      </c>
      <c r="BI25">
        <f t="shared" si="21"/>
        <v>19.234237442712839</v>
      </c>
      <c r="BJ25">
        <f t="shared" si="22"/>
        <v>19.234237442712839</v>
      </c>
    </row>
    <row r="26" spans="1:62">
      <c r="A26" s="39">
        <v>19</v>
      </c>
      <c r="B26" s="40" t="s">
        <v>25</v>
      </c>
      <c r="C26">
        <v>0.54</v>
      </c>
      <c r="D26" s="45">
        <f t="shared" si="38"/>
        <v>23.2367572778045</v>
      </c>
      <c r="E26">
        <f t="shared" si="23"/>
        <v>16.243770114164416</v>
      </c>
      <c r="F26">
        <f t="shared" si="0"/>
        <v>260.15749514326512</v>
      </c>
      <c r="G26">
        <f t="shared" si="31"/>
        <v>32.894095896453365</v>
      </c>
      <c r="H26">
        <f t="shared" si="1"/>
        <v>4064.88165687624</v>
      </c>
      <c r="J26" s="40" t="s">
        <v>26</v>
      </c>
      <c r="K26">
        <v>0.82699999999999996</v>
      </c>
      <c r="L26" s="46">
        <f t="shared" si="2"/>
        <v>21.204000000000001</v>
      </c>
      <c r="M26">
        <f t="shared" si="24"/>
        <v>10</v>
      </c>
      <c r="N26">
        <f t="shared" si="3"/>
        <v>205.43194521847624</v>
      </c>
      <c r="O26">
        <f t="shared" si="32"/>
        <v>32.894095896453365</v>
      </c>
      <c r="P26">
        <f t="shared" si="4"/>
        <v>3209.8116004504682</v>
      </c>
      <c r="R26" s="40" t="s">
        <v>27</v>
      </c>
      <c r="S26">
        <v>0.83399999999999996</v>
      </c>
      <c r="T26" s="45">
        <f t="shared" si="5"/>
        <v>14.6661</v>
      </c>
      <c r="U26">
        <f t="shared" si="25"/>
        <v>8</v>
      </c>
      <c r="V26">
        <f t="shared" si="6"/>
        <v>81.121344105471707</v>
      </c>
      <c r="W26">
        <f t="shared" si="33"/>
        <v>32.894095896453365</v>
      </c>
      <c r="X26">
        <f t="shared" si="26"/>
        <v>1267.4963043209245</v>
      </c>
      <c r="Z26" s="40" t="s">
        <v>28</v>
      </c>
      <c r="AA26">
        <v>0.83</v>
      </c>
      <c r="AB26" s="46">
        <f t="shared" si="7"/>
        <v>16.963200000000001</v>
      </c>
      <c r="AC26">
        <f t="shared" si="27"/>
        <v>4</v>
      </c>
      <c r="AD26">
        <f t="shared" si="8"/>
        <v>54.531196318679477</v>
      </c>
      <c r="AE26">
        <f t="shared" si="34"/>
        <v>32.894095896453365</v>
      </c>
      <c r="AF26">
        <f t="shared" si="9"/>
        <v>852.03334050110948</v>
      </c>
      <c r="AH26" s="40" t="s">
        <v>29</v>
      </c>
      <c r="AI26">
        <v>0.67500000000000004</v>
      </c>
      <c r="AJ26" s="45">
        <f t="shared" si="35"/>
        <v>22.111730737465329</v>
      </c>
      <c r="AK26">
        <f t="shared" si="28"/>
        <v>15.808137626519624</v>
      </c>
      <c r="AL26">
        <f t="shared" si="10"/>
        <v>285.90825883694964</v>
      </c>
      <c r="AM26">
        <f t="shared" si="36"/>
        <v>32.894095896453365</v>
      </c>
      <c r="AN26">
        <f t="shared" si="11"/>
        <v>4467.2294997910503</v>
      </c>
      <c r="AP26" s="41" t="s">
        <v>23</v>
      </c>
      <c r="AQ26">
        <v>0.6</v>
      </c>
      <c r="AR26" s="46">
        <f t="shared" si="12"/>
        <v>22.264200000000002</v>
      </c>
      <c r="AS26">
        <f t="shared" si="29"/>
        <v>15.867912970911281</v>
      </c>
      <c r="AT26">
        <f t="shared" si="13"/>
        <v>259.25495629573891</v>
      </c>
      <c r="AU26">
        <f t="shared" si="37"/>
        <v>32.894095896453365</v>
      </c>
      <c r="AV26">
        <f t="shared" si="14"/>
        <v>4050.7797621608593</v>
      </c>
      <c r="AX26">
        <f t="shared" si="30"/>
        <v>15.200000000000005</v>
      </c>
      <c r="AY26">
        <f t="shared" si="15"/>
        <v>55.784000000000013</v>
      </c>
      <c r="AZ26">
        <f t="shared" si="16"/>
        <v>65.737892042249399</v>
      </c>
      <c r="BA26">
        <f t="shared" si="17"/>
        <v>15.448404629928607</v>
      </c>
      <c r="BB26">
        <f t="shared" si="18"/>
        <v>81.186296672178003</v>
      </c>
      <c r="BC26">
        <f t="shared" si="19"/>
        <v>136.97029667217802</v>
      </c>
      <c r="BH26">
        <f t="shared" si="20"/>
        <v>197.36457537872019</v>
      </c>
      <c r="BI26">
        <f t="shared" si="21"/>
        <v>20.074331335878306</v>
      </c>
      <c r="BJ26">
        <f t="shared" si="22"/>
        <v>20.074331335878306</v>
      </c>
    </row>
    <row r="27" spans="1:62">
      <c r="A27" s="39">
        <v>20</v>
      </c>
      <c r="B27" s="40" t="s">
        <v>25</v>
      </c>
      <c r="C27">
        <v>0.54</v>
      </c>
      <c r="D27" s="45">
        <f t="shared" si="38"/>
        <v>23.775369183649239</v>
      </c>
      <c r="E27">
        <f t="shared" si="23"/>
        <v>16.448020216457568</v>
      </c>
      <c r="F27">
        <f t="shared" si="0"/>
        <v>275.39668458036738</v>
      </c>
      <c r="G27">
        <f t="shared" si="31"/>
        <v>32.729625416971096</v>
      </c>
      <c r="H27">
        <f t="shared" si="1"/>
        <v>4281.4744055108022</v>
      </c>
      <c r="J27" s="40" t="s">
        <v>26</v>
      </c>
      <c r="K27">
        <v>0.82699999999999996</v>
      </c>
      <c r="L27" s="46">
        <f t="shared" si="2"/>
        <v>22.32</v>
      </c>
      <c r="M27">
        <f t="shared" si="24"/>
        <v>10</v>
      </c>
      <c r="N27">
        <f t="shared" si="3"/>
        <v>227.06568183354321</v>
      </c>
      <c r="O27">
        <f t="shared" si="32"/>
        <v>32.729625416971096</v>
      </c>
      <c r="P27">
        <f t="shared" si="4"/>
        <v>3530.0929879439786</v>
      </c>
      <c r="R27" s="40" t="s">
        <v>27</v>
      </c>
      <c r="S27">
        <v>0.83399999999999996</v>
      </c>
      <c r="T27" s="45">
        <f t="shared" si="5"/>
        <v>15.437999999999999</v>
      </c>
      <c r="U27">
        <f t="shared" si="25"/>
        <v>8</v>
      </c>
      <c r="V27">
        <f t="shared" si="6"/>
        <v>89.664113782172009</v>
      </c>
      <c r="W27">
        <f t="shared" si="33"/>
        <v>32.729625416971096</v>
      </c>
      <c r="X27">
        <f t="shared" si="26"/>
        <v>1393.9696072817035</v>
      </c>
      <c r="Z27" s="40" t="s">
        <v>28</v>
      </c>
      <c r="AA27">
        <v>0.83</v>
      </c>
      <c r="AB27" s="46">
        <f t="shared" si="7"/>
        <v>17.856000000000002</v>
      </c>
      <c r="AC27">
        <f t="shared" si="27"/>
        <v>4</v>
      </c>
      <c r="AD27">
        <f t="shared" si="8"/>
        <v>60.273796561344646</v>
      </c>
      <c r="AE27">
        <f t="shared" si="34"/>
        <v>32.729625416971096</v>
      </c>
      <c r="AF27">
        <f t="shared" si="9"/>
        <v>937.05092235797713</v>
      </c>
      <c r="AH27" s="40" t="s">
        <v>29</v>
      </c>
      <c r="AI27">
        <v>0.67500000000000004</v>
      </c>
      <c r="AJ27" s="45">
        <f t="shared" si="35"/>
        <v>22.60535893706513</v>
      </c>
      <c r="AK27">
        <f t="shared" si="28"/>
        <v>16.000816527841334</v>
      </c>
      <c r="AL27">
        <f t="shared" si="10"/>
        <v>302.05007476161535</v>
      </c>
      <c r="AM27">
        <f t="shared" si="36"/>
        <v>32.729625416971096</v>
      </c>
      <c r="AN27">
        <f t="shared" si="11"/>
        <v>4695.8432569549977</v>
      </c>
      <c r="AP27" s="41" t="s">
        <v>23</v>
      </c>
      <c r="AQ27">
        <v>0.6</v>
      </c>
      <c r="AR27" s="46">
        <f t="shared" si="12"/>
        <v>23.436</v>
      </c>
      <c r="AS27">
        <f t="shared" si="29"/>
        <v>16.319642557476318</v>
      </c>
      <c r="AT27">
        <f t="shared" si="13"/>
        <v>294.51596560581584</v>
      </c>
      <c r="AU27">
        <f t="shared" si="37"/>
        <v>32.729625416971096</v>
      </c>
      <c r="AV27">
        <f t="shared" si="14"/>
        <v>4578.7136859580496</v>
      </c>
      <c r="AX27">
        <f t="shared" si="30"/>
        <v>16.000000000000004</v>
      </c>
      <c r="AY27">
        <f t="shared" si="15"/>
        <v>58.720000000000013</v>
      </c>
      <c r="AZ27">
        <f t="shared" si="16"/>
        <v>71.260921658247568</v>
      </c>
      <c r="BA27">
        <f t="shared" si="17"/>
        <v>16.746316589688178</v>
      </c>
      <c r="BB27">
        <f t="shared" si="18"/>
        <v>88.007238247935746</v>
      </c>
      <c r="BC27">
        <f t="shared" si="19"/>
        <v>146.72723824793576</v>
      </c>
      <c r="BH27">
        <f t="shared" si="20"/>
        <v>196.37775250182656</v>
      </c>
      <c r="BI27">
        <f t="shared" si="21"/>
        <v>20.905121353452397</v>
      </c>
      <c r="BJ27">
        <f t="shared" si="22"/>
        <v>20.905121353452397</v>
      </c>
    </row>
    <row r="28" spans="1:62">
      <c r="A28" s="39">
        <v>21</v>
      </c>
      <c r="B28" s="40" t="s">
        <v>25</v>
      </c>
      <c r="C28">
        <v>0.54</v>
      </c>
      <c r="D28" s="45">
        <f t="shared" si="38"/>
        <v>24.287696645231712</v>
      </c>
      <c r="E28">
        <f t="shared" si="23"/>
        <v>16.639825679741538</v>
      </c>
      <c r="F28">
        <f t="shared" si="0"/>
        <v>290.36662151336645</v>
      </c>
      <c r="G28">
        <f t="shared" si="31"/>
        <v>32.565977289886241</v>
      </c>
      <c r="H28">
        <f t="shared" si="1"/>
        <v>4491.6345809240102</v>
      </c>
      <c r="J28" s="40" t="s">
        <v>26</v>
      </c>
      <c r="K28">
        <v>0.82699999999999996</v>
      </c>
      <c r="L28" s="46">
        <f t="shared" si="2"/>
        <v>23.436</v>
      </c>
      <c r="M28">
        <f t="shared" si="24"/>
        <v>10</v>
      </c>
      <c r="N28">
        <f t="shared" si="3"/>
        <v>249.7543221716756</v>
      </c>
      <c r="O28">
        <f t="shared" si="32"/>
        <v>32.565977289886241</v>
      </c>
      <c r="P28">
        <f t="shared" si="4"/>
        <v>3863.4094523495164</v>
      </c>
      <c r="R28" s="40" t="s">
        <v>27</v>
      </c>
      <c r="S28">
        <v>0.83399999999999996</v>
      </c>
      <c r="T28" s="45">
        <f t="shared" si="5"/>
        <v>16.209900000000001</v>
      </c>
      <c r="U28">
        <f t="shared" si="25"/>
        <v>8</v>
      </c>
      <c r="V28">
        <f t="shared" si="6"/>
        <v>98.623445779917333</v>
      </c>
      <c r="W28">
        <f t="shared" si="33"/>
        <v>32.565977289886241</v>
      </c>
      <c r="X28">
        <f t="shared" si="26"/>
        <v>1525.5902253715794</v>
      </c>
      <c r="Z28" s="40" t="s">
        <v>28</v>
      </c>
      <c r="AA28">
        <v>0.83</v>
      </c>
      <c r="AB28" s="46">
        <f t="shared" si="7"/>
        <v>18.748800000000003</v>
      </c>
      <c r="AC28">
        <f t="shared" si="27"/>
        <v>4</v>
      </c>
      <c r="AD28">
        <f t="shared" si="8"/>
        <v>66.296417333235027</v>
      </c>
      <c r="AE28">
        <f t="shared" si="34"/>
        <v>32.565977289886241</v>
      </c>
      <c r="AF28">
        <f t="shared" si="9"/>
        <v>1025.5286201056024</v>
      </c>
      <c r="AH28" s="40" t="s">
        <v>29</v>
      </c>
      <c r="AI28">
        <v>0.67500000000000004</v>
      </c>
      <c r="AJ28" s="45">
        <f t="shared" si="35"/>
        <v>23.074897912572649</v>
      </c>
      <c r="AK28">
        <f t="shared" si="28"/>
        <v>16.181855905790385</v>
      </c>
      <c r="AL28">
        <f t="shared" si="10"/>
        <v>317.88941195725431</v>
      </c>
      <c r="AM28">
        <f t="shared" si="36"/>
        <v>32.565977289886241</v>
      </c>
      <c r="AN28">
        <f t="shared" si="11"/>
        <v>4917.3802009852361</v>
      </c>
      <c r="AP28" s="41" t="s">
        <v>23</v>
      </c>
      <c r="AQ28">
        <v>0.6</v>
      </c>
      <c r="AR28" s="46">
        <f t="shared" si="12"/>
        <v>24.607800000000001</v>
      </c>
      <c r="AS28">
        <f t="shared" si="29"/>
        <v>16.758473396776001</v>
      </c>
      <c r="AT28">
        <f t="shared" si="13"/>
        <v>332.44330786434716</v>
      </c>
      <c r="AU28">
        <f t="shared" si="37"/>
        <v>32.565977289886241</v>
      </c>
      <c r="AV28">
        <f t="shared" si="14"/>
        <v>5142.5120766903701</v>
      </c>
      <c r="AX28">
        <f t="shared" si="30"/>
        <v>16.800000000000004</v>
      </c>
      <c r="AY28">
        <f t="shared" si="15"/>
        <v>61.656000000000013</v>
      </c>
      <c r="AZ28">
        <f t="shared" si="16"/>
        <v>76.945422424084583</v>
      </c>
      <c r="BA28">
        <f t="shared" si="17"/>
        <v>18.082174269659877</v>
      </c>
      <c r="BB28">
        <f t="shared" si="18"/>
        <v>95.027596693744457</v>
      </c>
      <c r="BC28">
        <f t="shared" si="19"/>
        <v>156.68359669374448</v>
      </c>
      <c r="BH28">
        <f t="shared" si="20"/>
        <v>195.39586373931743</v>
      </c>
      <c r="BI28">
        <f t="shared" si="21"/>
        <v>21.727515759634063</v>
      </c>
      <c r="BJ28">
        <f t="shared" si="22"/>
        <v>21.727515759634059</v>
      </c>
    </row>
    <row r="29" spans="1:62">
      <c r="A29" s="39">
        <v>22</v>
      </c>
      <c r="B29" s="40" t="s">
        <v>25</v>
      </c>
      <c r="C29">
        <v>0.54</v>
      </c>
      <c r="D29" s="45">
        <f t="shared" si="38"/>
        <v>24.776186117007938</v>
      </c>
      <c r="E29">
        <f t="shared" si="23"/>
        <v>16.820525451076954</v>
      </c>
      <c r="F29">
        <f t="shared" si="0"/>
        <v>305.07459158995442</v>
      </c>
      <c r="G29">
        <f t="shared" si="31"/>
        <v>32.403147403436812</v>
      </c>
      <c r="H29">
        <f t="shared" si="1"/>
        <v>4695.5540561579746</v>
      </c>
      <c r="J29" s="40" t="s">
        <v>26</v>
      </c>
      <c r="K29">
        <v>0.82699999999999996</v>
      </c>
      <c r="L29" s="46">
        <f t="shared" si="2"/>
        <v>24.552</v>
      </c>
      <c r="M29">
        <f t="shared" si="24"/>
        <v>10</v>
      </c>
      <c r="N29">
        <f t="shared" si="3"/>
        <v>273.49539758862562</v>
      </c>
      <c r="O29">
        <f t="shared" si="32"/>
        <v>32.403147403436812</v>
      </c>
      <c r="P29">
        <f t="shared" si="4"/>
        <v>4209.5030490572517</v>
      </c>
      <c r="R29" s="40" t="s">
        <v>27</v>
      </c>
      <c r="S29">
        <v>0.83399999999999996</v>
      </c>
      <c r="T29" s="45">
        <f t="shared" si="5"/>
        <v>16.9818</v>
      </c>
      <c r="U29">
        <f t="shared" si="25"/>
        <v>8</v>
      </c>
      <c r="V29">
        <f t="shared" si="6"/>
        <v>107.99836527592912</v>
      </c>
      <c r="W29">
        <f t="shared" si="33"/>
        <v>32.403147403436812</v>
      </c>
      <c r="X29">
        <f t="shared" si="26"/>
        <v>1662.2563009489179</v>
      </c>
      <c r="Z29" s="40" t="s">
        <v>28</v>
      </c>
      <c r="AA29">
        <v>0.83</v>
      </c>
      <c r="AB29" s="46">
        <f t="shared" si="7"/>
        <v>19.6416</v>
      </c>
      <c r="AC29">
        <f t="shared" si="27"/>
        <v>4</v>
      </c>
      <c r="AD29">
        <f t="shared" si="8"/>
        <v>72.598403341308909</v>
      </c>
      <c r="AE29">
        <f t="shared" si="34"/>
        <v>32.403147403436812</v>
      </c>
      <c r="AF29">
        <f t="shared" si="9"/>
        <v>1117.3979632432313</v>
      </c>
      <c r="AH29" s="40" t="s">
        <v>29</v>
      </c>
      <c r="AI29">
        <v>0.67500000000000004</v>
      </c>
      <c r="AJ29" s="45">
        <f t="shared" si="35"/>
        <v>23.522589795837231</v>
      </c>
      <c r="AK29">
        <f t="shared" si="28"/>
        <v>16.352499870291144</v>
      </c>
      <c r="AL29">
        <f t="shared" si="10"/>
        <v>333.43613626620379</v>
      </c>
      <c r="AM29">
        <f t="shared" si="36"/>
        <v>32.403147403436812</v>
      </c>
      <c r="AN29">
        <f t="shared" si="11"/>
        <v>5132.0806297064655</v>
      </c>
      <c r="AP29" s="41" t="s">
        <v>23</v>
      </c>
      <c r="AQ29">
        <v>0.6</v>
      </c>
      <c r="AR29" s="46">
        <f t="shared" si="12"/>
        <v>25.779600000000002</v>
      </c>
      <c r="AS29">
        <f t="shared" si="29"/>
        <v>17.18527977959457</v>
      </c>
      <c r="AT29">
        <f t="shared" si="13"/>
        <v>373.09087354689774</v>
      </c>
      <c r="AU29">
        <f t="shared" si="37"/>
        <v>32.403147403436812</v>
      </c>
      <c r="AV29">
        <f t="shared" si="14"/>
        <v>5742.4263209481378</v>
      </c>
      <c r="AX29">
        <f t="shared" si="30"/>
        <v>17.600000000000005</v>
      </c>
      <c r="AY29">
        <f t="shared" si="15"/>
        <v>64.592000000000013</v>
      </c>
      <c r="AZ29">
        <f t="shared" si="16"/>
        <v>82.79233123462744</v>
      </c>
      <c r="BA29">
        <f t="shared" si="17"/>
        <v>19.456197840137449</v>
      </c>
      <c r="BB29">
        <f t="shared" si="18"/>
        <v>102.24852907476489</v>
      </c>
      <c r="BC29">
        <f t="shared" si="19"/>
        <v>166.8405290747649</v>
      </c>
      <c r="BH29">
        <f t="shared" si="20"/>
        <v>194.41888442062086</v>
      </c>
      <c r="BI29">
        <f t="shared" si="21"/>
        <v>22.542295985474198</v>
      </c>
      <c r="BJ29">
        <f t="shared" si="22"/>
        <v>22.542295985474198</v>
      </c>
    </row>
    <row r="30" spans="1:62">
      <c r="A30" s="39">
        <v>23</v>
      </c>
      <c r="B30" s="40" t="s">
        <v>25</v>
      </c>
      <c r="C30">
        <v>0.54</v>
      </c>
      <c r="D30" s="45">
        <f t="shared" si="38"/>
        <v>25.24295762861211</v>
      </c>
      <c r="E30">
        <f t="shared" si="23"/>
        <v>16.991258385531776</v>
      </c>
      <c r="F30">
        <f t="shared" si="0"/>
        <v>319.52824213951317</v>
      </c>
      <c r="G30">
        <f t="shared" si="31"/>
        <v>32.241131666419626</v>
      </c>
      <c r="H30">
        <f t="shared" si="1"/>
        <v>4893.4272598308371</v>
      </c>
      <c r="J30" s="40" t="s">
        <v>26</v>
      </c>
      <c r="K30">
        <v>0.82699999999999996</v>
      </c>
      <c r="L30" s="46">
        <f t="shared" si="2"/>
        <v>25.667999999999999</v>
      </c>
      <c r="M30">
        <f t="shared" si="24"/>
        <v>10</v>
      </c>
      <c r="N30">
        <f t="shared" si="3"/>
        <v>298.28655977239299</v>
      </c>
      <c r="O30">
        <f t="shared" si="32"/>
        <v>32.241131666419626</v>
      </c>
      <c r="P30">
        <f t="shared" si="4"/>
        <v>4568.1207177739079</v>
      </c>
      <c r="R30" s="40" t="s">
        <v>27</v>
      </c>
      <c r="S30">
        <v>0.83399999999999996</v>
      </c>
      <c r="T30" s="45">
        <f t="shared" si="5"/>
        <v>17.753700000000002</v>
      </c>
      <c r="U30">
        <f t="shared" si="25"/>
        <v>8</v>
      </c>
      <c r="V30">
        <f t="shared" si="6"/>
        <v>117.78794496444922</v>
      </c>
      <c r="W30">
        <f t="shared" si="33"/>
        <v>32.241131666419626</v>
      </c>
      <c r="X30">
        <f t="shared" si="26"/>
        <v>1803.8679051000031</v>
      </c>
      <c r="Z30" s="40" t="s">
        <v>28</v>
      </c>
      <c r="AA30">
        <v>0.83</v>
      </c>
      <c r="AB30" s="46">
        <f t="shared" si="7"/>
        <v>20.534399999999998</v>
      </c>
      <c r="AC30">
        <f t="shared" si="27"/>
        <v>4</v>
      </c>
      <c r="AD30">
        <f t="shared" si="8"/>
        <v>79.179131234302901</v>
      </c>
      <c r="AE30">
        <f t="shared" si="34"/>
        <v>32.241131666419626</v>
      </c>
      <c r="AF30">
        <f t="shared" si="9"/>
        <v>1212.5917777949921</v>
      </c>
      <c r="AH30" s="40" t="s">
        <v>29</v>
      </c>
      <c r="AI30">
        <v>0.67500000000000004</v>
      </c>
      <c r="AJ30" s="45">
        <f t="shared" si="35"/>
        <v>23.95037755618441</v>
      </c>
      <c r="AK30">
        <f t="shared" si="28"/>
        <v>16.513807669233465</v>
      </c>
      <c r="AL30">
        <f t="shared" si="10"/>
        <v>348.70017877962732</v>
      </c>
      <c r="AM30">
        <f t="shared" si="36"/>
        <v>32.241131666419626</v>
      </c>
      <c r="AN30">
        <f t="shared" si="11"/>
        <v>5340.1819786655633</v>
      </c>
      <c r="AP30" s="41" t="s">
        <v>23</v>
      </c>
      <c r="AQ30">
        <v>0.6</v>
      </c>
      <c r="AR30" s="46">
        <f t="shared" si="12"/>
        <v>26.951400000000003</v>
      </c>
      <c r="AS30">
        <f t="shared" si="29"/>
        <v>17.600842444347176</v>
      </c>
      <c r="AT30">
        <f t="shared" si="13"/>
        <v>416.51063267766847</v>
      </c>
      <c r="AU30">
        <f t="shared" si="37"/>
        <v>32.241131666419626</v>
      </c>
      <c r="AV30">
        <f t="shared" si="14"/>
        <v>6378.6677205966134</v>
      </c>
      <c r="AX30">
        <f t="shared" si="30"/>
        <v>18.400000000000006</v>
      </c>
      <c r="AY30">
        <f t="shared" si="15"/>
        <v>67.52800000000002</v>
      </c>
      <c r="AZ30">
        <f t="shared" si="16"/>
        <v>88.802466510326241</v>
      </c>
      <c r="BA30">
        <f t="shared" si="17"/>
        <v>20.868579629926664</v>
      </c>
      <c r="BB30">
        <f t="shared" si="18"/>
        <v>109.67104614025291</v>
      </c>
      <c r="BC30">
        <f t="shared" si="19"/>
        <v>177.19904614025293</v>
      </c>
      <c r="BH30">
        <f t="shared" si="20"/>
        <v>193.44678999851774</v>
      </c>
      <c r="BI30">
        <f t="shared" si="21"/>
        <v>23.350139197466088</v>
      </c>
      <c r="BJ30">
        <f t="shared" si="22"/>
        <v>23.350139197466095</v>
      </c>
    </row>
    <row r="31" spans="1:62">
      <c r="A31" s="39">
        <v>24</v>
      </c>
      <c r="B31" s="40" t="s">
        <v>25</v>
      </c>
      <c r="C31">
        <v>0.54</v>
      </c>
      <c r="D31" s="45">
        <f t="shared" si="38"/>
        <v>25.689860392566548</v>
      </c>
      <c r="E31">
        <f t="shared" si="23"/>
        <v>17.153000747259977</v>
      </c>
      <c r="F31">
        <f t="shared" si="0"/>
        <v>333.73537448759299</v>
      </c>
      <c r="G31">
        <f t="shared" si="31"/>
        <v>32.079926008087526</v>
      </c>
      <c r="H31">
        <f t="shared" si="1"/>
        <v>5085.4479069255976</v>
      </c>
      <c r="J31" s="40" t="s">
        <v>26</v>
      </c>
      <c r="K31">
        <v>0.82699999999999996</v>
      </c>
      <c r="L31" s="46">
        <f t="shared" si="2"/>
        <v>26.783999999999999</v>
      </c>
      <c r="M31">
        <f t="shared" si="24"/>
        <v>10</v>
      </c>
      <c r="N31">
        <f t="shared" si="3"/>
        <v>324.12556978497622</v>
      </c>
      <c r="O31">
        <f t="shared" si="32"/>
        <v>32.079926008087526</v>
      </c>
      <c r="P31">
        <f t="shared" si="4"/>
        <v>4939.0140406148421</v>
      </c>
      <c r="R31" s="40" t="s">
        <v>27</v>
      </c>
      <c r="S31">
        <v>0.83399999999999996</v>
      </c>
      <c r="T31" s="45">
        <f t="shared" si="5"/>
        <v>18.525600000000001</v>
      </c>
      <c r="U31">
        <f t="shared" si="25"/>
        <v>8</v>
      </c>
      <c r="V31">
        <f t="shared" si="6"/>
        <v>127.99130072952413</v>
      </c>
      <c r="W31">
        <f t="shared" si="33"/>
        <v>32.079926008087526</v>
      </c>
      <c r="X31">
        <f t="shared" si="26"/>
        <v>1950.326942113956</v>
      </c>
      <c r="Z31" s="40" t="s">
        <v>28</v>
      </c>
      <c r="AA31">
        <v>0.83</v>
      </c>
      <c r="AB31" s="46">
        <f t="shared" si="7"/>
        <v>21.427199999999999</v>
      </c>
      <c r="AC31">
        <f t="shared" si="27"/>
        <v>4</v>
      </c>
      <c r="AD31">
        <f t="shared" si="8"/>
        <v>86.038006693901039</v>
      </c>
      <c r="AE31">
        <f t="shared" si="34"/>
        <v>32.079926008087526</v>
      </c>
      <c r="AF31">
        <f t="shared" si="9"/>
        <v>1311.0441220962502</v>
      </c>
      <c r="AH31" s="40" t="s">
        <v>29</v>
      </c>
      <c r="AI31">
        <v>0.67500000000000004</v>
      </c>
      <c r="AJ31" s="45">
        <f t="shared" si="35"/>
        <v>24.359955963889707</v>
      </c>
      <c r="AK31">
        <f t="shared" si="28"/>
        <v>16.666688155854548</v>
      </c>
      <c r="AL31">
        <f t="shared" si="10"/>
        <v>363.69137219079721</v>
      </c>
      <c r="AM31">
        <f t="shared" si="36"/>
        <v>32.079926008087526</v>
      </c>
      <c r="AN31">
        <f t="shared" si="11"/>
        <v>5541.9163470887825</v>
      </c>
      <c r="AP31" s="41" t="s">
        <v>23</v>
      </c>
      <c r="AQ31">
        <v>0.6</v>
      </c>
      <c r="AR31" s="46">
        <f t="shared" si="12"/>
        <v>28.123200000000004</v>
      </c>
      <c r="AS31">
        <f t="shared" si="29"/>
        <v>18.005862043401031</v>
      </c>
      <c r="AT31">
        <f t="shared" si="13"/>
        <v>462.75277565032161</v>
      </c>
      <c r="AU31">
        <f t="shared" si="37"/>
        <v>32.079926008087526</v>
      </c>
      <c r="AV31">
        <f t="shared" si="14"/>
        <v>7051.4105313772352</v>
      </c>
      <c r="AX31">
        <f t="shared" si="30"/>
        <v>19.200000000000006</v>
      </c>
      <c r="AY31">
        <f t="shared" si="15"/>
        <v>70.464000000000027</v>
      </c>
      <c r="AZ31">
        <f t="shared" si="16"/>
        <v>94.976516797095144</v>
      </c>
      <c r="BA31">
        <f t="shared" si="17"/>
        <v>22.319481447317358</v>
      </c>
      <c r="BB31">
        <f t="shared" si="18"/>
        <v>117.2959982444125</v>
      </c>
      <c r="BC31">
        <f t="shared" si="19"/>
        <v>187.75999824441254</v>
      </c>
      <c r="BH31">
        <f t="shared" si="20"/>
        <v>192.47955604852513</v>
      </c>
      <c r="BI31">
        <f t="shared" si="21"/>
        <v>24.151636059409373</v>
      </c>
      <c r="BJ31">
        <f t="shared" si="22"/>
        <v>24.15163605940938</v>
      </c>
    </row>
    <row r="32" spans="1:62">
      <c r="A32" s="39">
        <v>25</v>
      </c>
      <c r="B32" s="40" t="s">
        <v>25</v>
      </c>
      <c r="C32">
        <v>0.54</v>
      </c>
      <c r="D32" s="45">
        <f t="shared" si="38"/>
        <v>26.118517052885775</v>
      </c>
      <c r="E32">
        <f t="shared" si="23"/>
        <v>17.3065953810524</v>
      </c>
      <c r="F32">
        <f t="shared" si="0"/>
        <v>347.70379927599828</v>
      </c>
      <c r="G32">
        <f t="shared" si="31"/>
        <v>31.919526378047088</v>
      </c>
      <c r="H32">
        <f t="shared" si="1"/>
        <v>5271.8067815502727</v>
      </c>
      <c r="J32" s="40" t="s">
        <v>26</v>
      </c>
      <c r="K32">
        <v>0.82699999999999996</v>
      </c>
      <c r="L32" s="46">
        <f t="shared" si="2"/>
        <v>27.900000000000002</v>
      </c>
      <c r="M32">
        <f t="shared" si="24"/>
        <v>10</v>
      </c>
      <c r="N32">
        <f t="shared" si="3"/>
        <v>351.01028852672175</v>
      </c>
      <c r="O32">
        <f t="shared" si="32"/>
        <v>31.919526378047088</v>
      </c>
      <c r="P32">
        <f t="shared" si="4"/>
        <v>5321.9390277074417</v>
      </c>
      <c r="R32" s="40" t="s">
        <v>27</v>
      </c>
      <c r="S32">
        <v>0.83399999999999996</v>
      </c>
      <c r="T32" s="45">
        <f t="shared" si="5"/>
        <v>19.297499999999999</v>
      </c>
      <c r="U32">
        <f t="shared" si="25"/>
        <v>8</v>
      </c>
      <c r="V32">
        <f t="shared" si="6"/>
        <v>138.60758787955101</v>
      </c>
      <c r="W32">
        <f t="shared" si="33"/>
        <v>31.919526378047088</v>
      </c>
      <c r="X32">
        <f t="shared" si="26"/>
        <v>2101.5370648214339</v>
      </c>
      <c r="Z32" s="40" t="s">
        <v>28</v>
      </c>
      <c r="AA32">
        <v>0.83</v>
      </c>
      <c r="AB32" s="46">
        <f t="shared" si="7"/>
        <v>22.32</v>
      </c>
      <c r="AC32">
        <f t="shared" si="27"/>
        <v>4</v>
      </c>
      <c r="AD32">
        <f t="shared" si="8"/>
        <v>93.174461903529988</v>
      </c>
      <c r="AE32">
        <f t="shared" si="34"/>
        <v>31.919526378047088</v>
      </c>
      <c r="AF32">
        <f t="shared" si="9"/>
        <v>1412.6902298827827</v>
      </c>
      <c r="AH32" s="40" t="s">
        <v>29</v>
      </c>
      <c r="AI32">
        <v>0.67500000000000004</v>
      </c>
      <c r="AJ32" s="45">
        <f t="shared" si="35"/>
        <v>24.752812143234614</v>
      </c>
      <c r="AK32">
        <f t="shared" si="28"/>
        <v>16.811926637380438</v>
      </c>
      <c r="AL32">
        <f t="shared" si="10"/>
        <v>378.41934227524661</v>
      </c>
      <c r="AM32">
        <f t="shared" si="36"/>
        <v>31.919526378047088</v>
      </c>
      <c r="AN32">
        <f t="shared" si="11"/>
        <v>5737.5089344160333</v>
      </c>
      <c r="AP32" s="41" t="s">
        <v>23</v>
      </c>
      <c r="AQ32">
        <v>0.6</v>
      </c>
      <c r="AR32" s="46">
        <f t="shared" si="12"/>
        <v>29.295000000000002</v>
      </c>
      <c r="AS32">
        <f t="shared" si="29"/>
        <v>18.400970207893788</v>
      </c>
      <c r="AT32">
        <f t="shared" si="13"/>
        <v>511.86583845315869</v>
      </c>
      <c r="AU32">
        <f t="shared" si="37"/>
        <v>31.919526378047088</v>
      </c>
      <c r="AV32">
        <f t="shared" si="14"/>
        <v>7760.7946879502242</v>
      </c>
      <c r="AX32">
        <f t="shared" si="30"/>
        <v>20.000000000000007</v>
      </c>
      <c r="AY32">
        <f t="shared" si="15"/>
        <v>73.40000000000002</v>
      </c>
      <c r="AZ32">
        <f t="shared" si="16"/>
        <v>101.31503558562446</v>
      </c>
      <c r="BA32">
        <f t="shared" si="17"/>
        <v>23.809033362621747</v>
      </c>
      <c r="BB32">
        <f t="shared" si="18"/>
        <v>125.1240689482462</v>
      </c>
      <c r="BC32">
        <f t="shared" si="19"/>
        <v>198.52406894824622</v>
      </c>
      <c r="BH32">
        <f t="shared" si="20"/>
        <v>191.51715826828254</v>
      </c>
      <c r="BI32">
        <f t="shared" si="21"/>
        <v>24.947304866020062</v>
      </c>
      <c r="BJ32">
        <f t="shared" si="22"/>
        <v>24.947304866020062</v>
      </c>
    </row>
    <row r="33" spans="1:62">
      <c r="A33" s="39">
        <v>26</v>
      </c>
      <c r="B33" s="40" t="s">
        <v>25</v>
      </c>
      <c r="C33">
        <v>0.54</v>
      </c>
      <c r="D33" s="45">
        <f t="shared" si="38"/>
        <v>26.530359250044516</v>
      </c>
      <c r="E33">
        <f t="shared" si="23"/>
        <v>17.452774669749278</v>
      </c>
      <c r="F33">
        <f t="shared" si="0"/>
        <v>361.44123646386686</v>
      </c>
      <c r="G33">
        <f t="shared" si="31"/>
        <v>31.759928746156852</v>
      </c>
      <c r="H33">
        <f t="shared" si="1"/>
        <v>5452.6902601072397</v>
      </c>
      <c r="J33" s="40" t="s">
        <v>26</v>
      </c>
      <c r="K33">
        <v>0.82699999999999996</v>
      </c>
      <c r="L33" s="46">
        <f t="shared" si="2"/>
        <v>29.016000000000002</v>
      </c>
      <c r="M33">
        <f t="shared" si="24"/>
        <v>10</v>
      </c>
      <c r="N33">
        <f t="shared" si="3"/>
        <v>378.93866838793258</v>
      </c>
      <c r="O33">
        <f t="shared" si="32"/>
        <v>31.759928746156852</v>
      </c>
      <c r="P33">
        <f t="shared" si="4"/>
        <v>5716.6559259030419</v>
      </c>
      <c r="R33" s="40" t="s">
        <v>27</v>
      </c>
      <c r="S33">
        <v>0.83399999999999996</v>
      </c>
      <c r="T33" s="45">
        <f t="shared" si="5"/>
        <v>20.069399999999998</v>
      </c>
      <c r="U33">
        <f t="shared" si="25"/>
        <v>8</v>
      </c>
      <c r="V33">
        <f t="shared" si="6"/>
        <v>149.63599785064937</v>
      </c>
      <c r="W33">
        <f t="shared" si="33"/>
        <v>31.759928746156852</v>
      </c>
      <c r="X33">
        <f t="shared" si="26"/>
        <v>2257.4035990584343</v>
      </c>
      <c r="Z33" s="40" t="s">
        <v>28</v>
      </c>
      <c r="AA33">
        <v>0.83</v>
      </c>
      <c r="AB33" s="46">
        <f t="shared" si="7"/>
        <v>23.212800000000001</v>
      </c>
      <c r="AC33">
        <f t="shared" si="27"/>
        <v>4</v>
      </c>
      <c r="AD33">
        <f t="shared" si="8"/>
        <v>100.58795333230778</v>
      </c>
      <c r="AE33">
        <f t="shared" si="34"/>
        <v>31.759928746156852</v>
      </c>
      <c r="AF33">
        <f t="shared" si="9"/>
        <v>1517.4664595140266</v>
      </c>
      <c r="AH33" s="40" t="s">
        <v>29</v>
      </c>
      <c r="AI33">
        <v>0.67500000000000004</v>
      </c>
      <c r="AJ33" s="45">
        <f t="shared" si="35"/>
        <v>25.13025816716506</v>
      </c>
      <c r="AK33">
        <f t="shared" si="28"/>
        <v>16.950206030958984</v>
      </c>
      <c r="AL33">
        <f t="shared" si="10"/>
        <v>392.89343779698783</v>
      </c>
      <c r="AM33">
        <f t="shared" si="36"/>
        <v>31.759928746156852</v>
      </c>
      <c r="AN33">
        <f t="shared" si="11"/>
        <v>5927.1771049008476</v>
      </c>
      <c r="AP33" s="41" t="s">
        <v>23</v>
      </c>
      <c r="AQ33">
        <v>0.6</v>
      </c>
      <c r="AR33" s="46">
        <f t="shared" si="12"/>
        <v>30.466799999999999</v>
      </c>
      <c r="AS33">
        <f t="shared" si="29"/>
        <v>18.786738716022015</v>
      </c>
      <c r="AT33">
        <f t="shared" si="13"/>
        <v>563.89681457649795</v>
      </c>
      <c r="AU33">
        <f t="shared" si="37"/>
        <v>31.759928746156852</v>
      </c>
      <c r="AV33">
        <f t="shared" si="14"/>
        <v>8506.9282592888376</v>
      </c>
      <c r="AX33">
        <f t="shared" si="30"/>
        <v>20.800000000000008</v>
      </c>
      <c r="AY33">
        <f t="shared" si="15"/>
        <v>76.336000000000027</v>
      </c>
      <c r="AZ33">
        <f t="shared" si="16"/>
        <v>107.81844030419479</v>
      </c>
      <c r="BA33">
        <f t="shared" si="17"/>
        <v>25.337333471485774</v>
      </c>
      <c r="BB33">
        <f t="shared" si="18"/>
        <v>133.15577377568056</v>
      </c>
      <c r="BC33">
        <f t="shared" si="19"/>
        <v>209.4917737756806</v>
      </c>
      <c r="BH33">
        <f t="shared" si="20"/>
        <v>190.5595724769411</v>
      </c>
      <c r="BI33">
        <f t="shared" si="21"/>
        <v>25.737602902868264</v>
      </c>
      <c r="BJ33">
        <f t="shared" si="22"/>
        <v>25.737602902868261</v>
      </c>
    </row>
    <row r="34" spans="1:62">
      <c r="A34" s="39">
        <v>27</v>
      </c>
      <c r="B34" s="40" t="s">
        <v>25</v>
      </c>
      <c r="C34">
        <v>0.54</v>
      </c>
      <c r="D34" s="45">
        <f t="shared" si="38"/>
        <v>26.926656470271041</v>
      </c>
      <c r="E34">
        <f t="shared" si="23"/>
        <v>17.592178793582946</v>
      </c>
      <c r="F34">
        <f t="shared" si="0"/>
        <v>374.9552472098822</v>
      </c>
      <c r="G34">
        <f t="shared" si="31"/>
        <v>31.601129102426068</v>
      </c>
      <c r="H34">
        <f t="shared" si="1"/>
        <v>5628.2793579879954</v>
      </c>
      <c r="J34" s="40" t="s">
        <v>26</v>
      </c>
      <c r="K34">
        <v>0.82699999999999996</v>
      </c>
      <c r="L34" s="46">
        <f t="shared" si="2"/>
        <v>30.132000000000001</v>
      </c>
      <c r="M34">
        <f t="shared" si="24"/>
        <v>10</v>
      </c>
      <c r="N34">
        <f t="shared" si="3"/>
        <v>407.90874589904587</v>
      </c>
      <c r="O34">
        <f t="shared" si="32"/>
        <v>31.601129102426068</v>
      </c>
      <c r="P34">
        <f t="shared" si="4"/>
        <v>6122.9290470531178</v>
      </c>
      <c r="R34" s="40" t="s">
        <v>27</v>
      </c>
      <c r="S34">
        <v>0.83399999999999996</v>
      </c>
      <c r="T34" s="45">
        <f t="shared" si="5"/>
        <v>20.8413</v>
      </c>
      <c r="U34">
        <f t="shared" si="25"/>
        <v>8</v>
      </c>
      <c r="V34">
        <f t="shared" si="6"/>
        <v>161.07575530434991</v>
      </c>
      <c r="W34">
        <f t="shared" si="33"/>
        <v>31.601129102426068</v>
      </c>
      <c r="X34">
        <f t="shared" si="26"/>
        <v>2417.8334758556871</v>
      </c>
      <c r="Z34" s="40" t="s">
        <v>28</v>
      </c>
      <c r="AA34">
        <v>0.83</v>
      </c>
      <c r="AB34" s="46">
        <f t="shared" si="7"/>
        <v>24.105599999999999</v>
      </c>
      <c r="AC34">
        <f t="shared" si="27"/>
        <v>4</v>
      </c>
      <c r="AD34">
        <f t="shared" si="8"/>
        <v>108.27795978405895</v>
      </c>
      <c r="AE34">
        <f t="shared" si="34"/>
        <v>31.601129102426068</v>
      </c>
      <c r="AF34">
        <f t="shared" si="9"/>
        <v>1625.3102483895887</v>
      </c>
      <c r="AH34" s="40" t="s">
        <v>29</v>
      </c>
      <c r="AI34">
        <v>0.67500000000000004</v>
      </c>
      <c r="AJ34" s="45">
        <f t="shared" si="35"/>
        <v>25.493457497153905</v>
      </c>
      <c r="AK34">
        <f t="shared" si="28"/>
        <v>17.082123709627528</v>
      </c>
      <c r="AL34">
        <f t="shared" si="10"/>
        <v>407.12268729084104</v>
      </c>
      <c r="AM34">
        <f t="shared" si="36"/>
        <v>31.601129102426068</v>
      </c>
      <c r="AN34">
        <f t="shared" si="11"/>
        <v>6111.1298857621396</v>
      </c>
      <c r="AP34" s="41" t="s">
        <v>23</v>
      </c>
      <c r="AQ34">
        <v>0.6</v>
      </c>
      <c r="AR34" s="46">
        <f t="shared" si="12"/>
        <v>31.638600000000004</v>
      </c>
      <c r="AS34">
        <f t="shared" si="29"/>
        <v>19.163687148605575</v>
      </c>
      <c r="AT34">
        <f t="shared" si="13"/>
        <v>618.89125547232186</v>
      </c>
      <c r="AU34">
        <f t="shared" si="37"/>
        <v>31.601129102426068</v>
      </c>
      <c r="AV34">
        <f t="shared" si="14"/>
        <v>9289.8896706581145</v>
      </c>
      <c r="AX34">
        <f t="shared" si="30"/>
        <v>21.600000000000009</v>
      </c>
      <c r="AY34">
        <f t="shared" si="15"/>
        <v>79.272000000000034</v>
      </c>
      <c r="AZ34">
        <f t="shared" si="16"/>
        <v>114.48701408654338</v>
      </c>
      <c r="BA34">
        <f t="shared" si="17"/>
        <v>26.904448310337692</v>
      </c>
      <c r="BB34">
        <f t="shared" si="18"/>
        <v>141.39146239688108</v>
      </c>
      <c r="BC34">
        <f t="shared" si="19"/>
        <v>220.66346239688113</v>
      </c>
      <c r="BH34">
        <f t="shared" si="20"/>
        <v>189.6067746145564</v>
      </c>
      <c r="BI34">
        <f t="shared" si="21"/>
        <v>26.522935661237494</v>
      </c>
      <c r="BJ34">
        <f t="shared" si="22"/>
        <v>26.522935661237494</v>
      </c>
    </row>
    <row r="35" spans="1:62">
      <c r="A35" s="39">
        <v>28</v>
      </c>
      <c r="B35" s="40" t="s">
        <v>25</v>
      </c>
      <c r="C35">
        <v>0.54</v>
      </c>
      <c r="D35" s="45">
        <f t="shared" si="38"/>
        <v>27.308539645681048</v>
      </c>
      <c r="E35">
        <f t="shared" si="23"/>
        <v>17.725370394263798</v>
      </c>
      <c r="F35">
        <f t="shared" si="0"/>
        <v>388.25318860374381</v>
      </c>
      <c r="G35">
        <f t="shared" si="31"/>
        <v>31.443123456913938</v>
      </c>
      <c r="H35">
        <f t="shared" si="1"/>
        <v>5798.7491473588034</v>
      </c>
      <c r="J35" s="40" t="s">
        <v>26</v>
      </c>
      <c r="K35">
        <v>0.82699999999999996</v>
      </c>
      <c r="L35" s="46">
        <f t="shared" si="2"/>
        <v>31.248000000000005</v>
      </c>
      <c r="M35">
        <f t="shared" si="24"/>
        <v>10</v>
      </c>
      <c r="N35">
        <f t="shared" si="3"/>
        <v>437.91863522668888</v>
      </c>
      <c r="O35">
        <f t="shared" si="32"/>
        <v>31.443123456913938</v>
      </c>
      <c r="P35">
        <f t="shared" si="4"/>
        <v>6540.5266129701185</v>
      </c>
      <c r="R35" s="40" t="s">
        <v>27</v>
      </c>
      <c r="S35">
        <v>0.83399999999999996</v>
      </c>
      <c r="T35" s="45">
        <f t="shared" si="5"/>
        <v>21.613199999999999</v>
      </c>
      <c r="U35">
        <f t="shared" si="25"/>
        <v>8</v>
      </c>
      <c r="V35">
        <f t="shared" si="6"/>
        <v>172.92611555930341</v>
      </c>
      <c r="W35">
        <f t="shared" si="33"/>
        <v>31.443123456913938</v>
      </c>
      <c r="X35">
        <f t="shared" si="26"/>
        <v>2582.7351702164779</v>
      </c>
      <c r="Z35" s="40" t="s">
        <v>28</v>
      </c>
      <c r="AA35">
        <v>0.83</v>
      </c>
      <c r="AB35" s="46">
        <f t="shared" si="7"/>
        <v>24.9984</v>
      </c>
      <c r="AC35">
        <f t="shared" si="27"/>
        <v>4</v>
      </c>
      <c r="AD35">
        <f t="shared" si="8"/>
        <v>116.24398067086493</v>
      </c>
      <c r="AE35">
        <f t="shared" si="34"/>
        <v>31.443123456913938</v>
      </c>
      <c r="AF35">
        <f t="shared" si="9"/>
        <v>1736.1600717946335</v>
      </c>
      <c r="AH35" s="40" t="s">
        <v>29</v>
      </c>
      <c r="AI35">
        <v>0.67500000000000004</v>
      </c>
      <c r="AJ35" s="45">
        <f t="shared" si="35"/>
        <v>25.8434466123025</v>
      </c>
      <c r="AK35">
        <f t="shared" si="28"/>
        <v>17.208205045730043</v>
      </c>
      <c r="AL35">
        <f t="shared" si="10"/>
        <v>421.11577465904418</v>
      </c>
      <c r="AM35">
        <f t="shared" si="36"/>
        <v>31.443123456913938</v>
      </c>
      <c r="AN35">
        <f t="shared" si="11"/>
        <v>6289.5677638226816</v>
      </c>
      <c r="AP35" s="41" t="s">
        <v>23</v>
      </c>
      <c r="AQ35">
        <v>0.6</v>
      </c>
      <c r="AR35" s="46">
        <f t="shared" si="12"/>
        <v>32.810400000000001</v>
      </c>
      <c r="AS35">
        <f t="shared" si="29"/>
        <v>19.532289326984209</v>
      </c>
      <c r="AT35">
        <f>0.0673*(AQ35*AR35^2*AS35)^0.976</f>
        <v>676.89336111397472</v>
      </c>
      <c r="AU35">
        <f t="shared" si="37"/>
        <v>31.443123456913938</v>
      </c>
      <c r="AV35">
        <f t="shared" si="14"/>
        <v>10109.729722319264</v>
      </c>
      <c r="AX35">
        <f t="shared" si="30"/>
        <v>22.400000000000009</v>
      </c>
      <c r="AY35">
        <f t="shared" si="15"/>
        <v>82.208000000000027</v>
      </c>
      <c r="AZ35">
        <f t="shared" si="16"/>
        <v>121.32090935272886</v>
      </c>
      <c r="BA35">
        <f t="shared" si="17"/>
        <v>28.510413697891281</v>
      </c>
      <c r="BB35">
        <f t="shared" si="18"/>
        <v>149.83132305062014</v>
      </c>
      <c r="BC35">
        <f t="shared" si="19"/>
        <v>232.03932305062017</v>
      </c>
      <c r="BH35">
        <f t="shared" si="20"/>
        <v>188.65874074148365</v>
      </c>
      <c r="BI35">
        <f t="shared" si="21"/>
        <v>27.303664376330591</v>
      </c>
      <c r="BJ35">
        <f t="shared" si="22"/>
        <v>27.303664376330588</v>
      </c>
    </row>
    <row r="36" spans="1:62">
      <c r="A36" s="39">
        <v>29</v>
      </c>
      <c r="B36" s="40" t="s">
        <v>25</v>
      </c>
      <c r="C36">
        <v>0.54</v>
      </c>
      <c r="D36" s="45">
        <f t="shared" si="38"/>
        <v>27.677020611230869</v>
      </c>
      <c r="E36">
        <f t="shared" si="23"/>
        <v>17.852846456980302</v>
      </c>
      <c r="F36">
        <f t="shared" si="0"/>
        <v>401.34218481673042</v>
      </c>
      <c r="G36">
        <f t="shared" si="31"/>
        <v>31.285907839629367</v>
      </c>
      <c r="H36">
        <f t="shared" si="1"/>
        <v>5964.2684380075689</v>
      </c>
      <c r="J36" s="40" t="s">
        <v>26</v>
      </c>
      <c r="K36">
        <v>0.82699999999999996</v>
      </c>
      <c r="L36" s="46">
        <f t="shared" si="2"/>
        <v>32.363999999999997</v>
      </c>
      <c r="M36">
        <f t="shared" si="24"/>
        <v>10</v>
      </c>
      <c r="N36">
        <f t="shared" si="3"/>
        <v>468.96652239098324</v>
      </c>
      <c r="O36">
        <f t="shared" si="32"/>
        <v>31.285907839629367</v>
      </c>
      <c r="P36">
        <f t="shared" si="4"/>
        <v>6969.2206147129964</v>
      </c>
      <c r="R36" s="40" t="s">
        <v>27</v>
      </c>
      <c r="S36">
        <v>0.83399999999999996</v>
      </c>
      <c r="T36" s="45">
        <f t="shared" si="5"/>
        <v>22.385100000000001</v>
      </c>
      <c r="U36">
        <f t="shared" si="25"/>
        <v>8</v>
      </c>
      <c r="V36">
        <f t="shared" si="6"/>
        <v>185.18636230780257</v>
      </c>
      <c r="W36">
        <f t="shared" si="33"/>
        <v>31.285907839629367</v>
      </c>
      <c r="X36">
        <f t="shared" si="26"/>
        <v>2752.0186455511089</v>
      </c>
      <c r="Z36" s="40" t="s">
        <v>28</v>
      </c>
      <c r="AA36">
        <v>0.83</v>
      </c>
      <c r="AB36" s="46">
        <f t="shared" si="7"/>
        <v>25.891200000000001</v>
      </c>
      <c r="AC36">
        <f t="shared" si="27"/>
        <v>4</v>
      </c>
      <c r="AD36">
        <f t="shared" si="8"/>
        <v>124.48553447806752</v>
      </c>
      <c r="AE36">
        <f t="shared" si="34"/>
        <v>31.285907839629367</v>
      </c>
      <c r="AF36">
        <f t="shared" si="9"/>
        <v>1849.9554055477167</v>
      </c>
      <c r="AH36" s="40" t="s">
        <v>29</v>
      </c>
      <c r="AI36">
        <v>0.67500000000000004</v>
      </c>
      <c r="AJ36" s="45">
        <f t="shared" si="35"/>
        <v>26.181152841291034</v>
      </c>
      <c r="AK36">
        <f t="shared" si="28"/>
        <v>17.328914395684489</v>
      </c>
      <c r="AL36">
        <f t="shared" si="10"/>
        <v>434.88102791072072</v>
      </c>
      <c r="AM36">
        <f t="shared" si="36"/>
        <v>31.285907839629367</v>
      </c>
      <c r="AN36">
        <f t="shared" si="11"/>
        <v>6462.6826861985946</v>
      </c>
      <c r="AP36" s="41" t="s">
        <v>23</v>
      </c>
      <c r="AQ36">
        <v>0.6</v>
      </c>
      <c r="AR36" s="46">
        <f t="shared" si="12"/>
        <v>33.982199999999999</v>
      </c>
      <c r="AS36">
        <f t="shared" si="29"/>
        <v>19.892978762466079</v>
      </c>
      <c r="AT36">
        <f t="shared" si="13"/>
        <v>737.94606194658684</v>
      </c>
      <c r="AU36">
        <f t="shared" si="37"/>
        <v>31.285907839629367</v>
      </c>
      <c r="AV36">
        <f t="shared" si="14"/>
        <v>10966.473430222211</v>
      </c>
      <c r="AX36">
        <f t="shared" si="30"/>
        <v>23.20000000000001</v>
      </c>
      <c r="AY36">
        <f t="shared" si="15"/>
        <v>85.144000000000034</v>
      </c>
      <c r="AZ36">
        <f t="shared" si="16"/>
        <v>128.32015253828152</v>
      </c>
      <c r="BA36">
        <f t="shared" si="17"/>
        <v>30.155235846496154</v>
      </c>
      <c r="BB36">
        <f t="shared" si="18"/>
        <v>158.47538838477766</v>
      </c>
      <c r="BC36">
        <f t="shared" si="19"/>
        <v>243.61938838477769</v>
      </c>
      <c r="BH36">
        <f t="shared" si="20"/>
        <v>187.71544703777622</v>
      </c>
      <c r="BI36">
        <f t="shared" si="21"/>
        <v>28.080112242086983</v>
      </c>
      <c r="BJ36">
        <f t="shared" si="22"/>
        <v>28.08011224208698</v>
      </c>
    </row>
    <row r="37" spans="1:62">
      <c r="A37" s="39">
        <v>30</v>
      </c>
      <c r="B37" s="40" t="s">
        <v>25</v>
      </c>
      <c r="C37">
        <v>0.54</v>
      </c>
      <c r="D37" s="45">
        <f t="shared" si="38"/>
        <v>28.033008261803079</v>
      </c>
      <c r="E37">
        <f t="shared" si="23"/>
        <v>17.975048017428769</v>
      </c>
      <c r="F37">
        <f t="shared" si="0"/>
        <v>414.22911005776183</v>
      </c>
      <c r="G37">
        <f t="shared" si="31"/>
        <v>31.12947830043122</v>
      </c>
      <c r="H37">
        <f t="shared" si="1"/>
        <v>6124.9996441512649</v>
      </c>
      <c r="J37" s="40" t="s">
        <v>26</v>
      </c>
      <c r="K37">
        <v>0.82699999999999996</v>
      </c>
      <c r="L37" s="46">
        <f t="shared" si="2"/>
        <v>33.480000000000004</v>
      </c>
      <c r="M37">
        <f t="shared" si="24"/>
        <v>10</v>
      </c>
      <c r="N37">
        <f t="shared" si="3"/>
        <v>501.05066010158282</v>
      </c>
      <c r="O37">
        <f t="shared" si="32"/>
        <v>31.12947830043122</v>
      </c>
      <c r="P37">
        <f t="shared" si="4"/>
        <v>7408.7866842482563</v>
      </c>
      <c r="R37" s="40" t="s">
        <v>27</v>
      </c>
      <c r="S37">
        <v>0.83399999999999996</v>
      </c>
      <c r="T37" s="45">
        <f t="shared" si="5"/>
        <v>23.157</v>
      </c>
      <c r="U37">
        <f t="shared" si="25"/>
        <v>8</v>
      </c>
      <c r="V37">
        <f t="shared" si="6"/>
        <v>197.85580557662237</v>
      </c>
      <c r="W37">
        <f t="shared" si="33"/>
        <v>31.12947830043122</v>
      </c>
      <c r="X37">
        <f t="shared" si="26"/>
        <v>2925.5953029981069</v>
      </c>
      <c r="Z37" s="40" t="s">
        <v>28</v>
      </c>
      <c r="AA37">
        <v>0.83</v>
      </c>
      <c r="AB37" s="46">
        <f t="shared" si="7"/>
        <v>26.783999999999999</v>
      </c>
      <c r="AC37">
        <f t="shared" si="27"/>
        <v>4</v>
      </c>
      <c r="AD37">
        <f t="shared" si="8"/>
        <v>133.00215739351282</v>
      </c>
      <c r="AE37">
        <f t="shared" si="34"/>
        <v>31.12947830043122</v>
      </c>
      <c r="AF37">
        <f t="shared" si="9"/>
        <v>1966.6366919336501</v>
      </c>
      <c r="AH37" s="40" t="s">
        <v>29</v>
      </c>
      <c r="AI37">
        <v>0.67500000000000004</v>
      </c>
      <c r="AJ37" s="45">
        <f t="shared" si="35"/>
        <v>26.507409170059191</v>
      </c>
      <c r="AK37">
        <f t="shared" si="28"/>
        <v>17.444664082237281</v>
      </c>
      <c r="AL37">
        <f t="shared" si="10"/>
        <v>448.42641702874357</v>
      </c>
      <c r="AM37">
        <f t="shared" si="36"/>
        <v>31.12947830043122</v>
      </c>
      <c r="AN37">
        <f t="shared" si="11"/>
        <v>6630.6581986622868</v>
      </c>
      <c r="AP37" s="41" t="s">
        <v>23</v>
      </c>
      <c r="AQ37">
        <v>0.6</v>
      </c>
      <c r="AR37" s="46">
        <f t="shared" si="12"/>
        <v>35.153999999999996</v>
      </c>
      <c r="AS37">
        <f t="shared" si="29"/>
        <v>20.246153297130327</v>
      </c>
      <c r="AT37">
        <f t="shared" si="13"/>
        <v>802.09109331190677</v>
      </c>
      <c r="AU37">
        <f t="shared" si="37"/>
        <v>31.12947830043122</v>
      </c>
      <c r="AV37">
        <f t="shared" si="14"/>
        <v>11860.121710005522</v>
      </c>
      <c r="AX37">
        <f t="shared" si="30"/>
        <v>24.000000000000011</v>
      </c>
      <c r="AY37">
        <f t="shared" si="15"/>
        <v>88.080000000000041</v>
      </c>
      <c r="AZ37">
        <f>SUM(H37,P37,X37,AF37,AN37,AV37)*3.67/1000</f>
        <v>135.48464951143663</v>
      </c>
      <c r="BA37">
        <f>AZ37*0.235</f>
        <v>31.838892635187605</v>
      </c>
      <c r="BB37">
        <f t="shared" si="18"/>
        <v>167.32354214662422</v>
      </c>
      <c r="BC37">
        <f>BB37+AY37</f>
        <v>255.40354214662426</v>
      </c>
      <c r="BH37">
        <f t="shared" si="20"/>
        <v>186.77686980258733</v>
      </c>
      <c r="BI37">
        <f t="shared" si="21"/>
        <v>28.852569571977043</v>
      </c>
      <c r="BJ37">
        <f t="shared" si="22"/>
        <v>28.852569571977043</v>
      </c>
    </row>
    <row r="39" spans="1:62">
      <c r="F39">
        <f>F37*$F$5*3.67/1000</f>
        <v>0.72210489610819328</v>
      </c>
      <c r="G39" t="s">
        <v>91</v>
      </c>
      <c r="N39">
        <f t="shared" ref="N39:AT39" si="39">N37*$F$5*3.67/1000</f>
        <v>0.87345656322208409</v>
      </c>
      <c r="O39" t="s">
        <v>91</v>
      </c>
      <c r="V39">
        <f t="shared" si="39"/>
        <v>0.34491213307144691</v>
      </c>
      <c r="W39" t="s">
        <v>91</v>
      </c>
      <c r="AD39">
        <f t="shared" si="39"/>
        <v>0.23185601087624119</v>
      </c>
      <c r="AE39" t="s">
        <v>91</v>
      </c>
      <c r="AL39">
        <f t="shared" si="39"/>
        <v>0.78171935148535721</v>
      </c>
      <c r="AM39" t="s">
        <v>91</v>
      </c>
      <c r="AT39">
        <f t="shared" si="39"/>
        <v>1.3982452984159812</v>
      </c>
      <c r="AU39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2F689-04AA-9647-8863-AB6073B073CA}">
  <dimension ref="A2:BK36"/>
  <sheetViews>
    <sheetView topLeftCell="AS5" workbookViewId="0">
      <selection activeCell="BE7" sqref="BE7"/>
    </sheetView>
  </sheetViews>
  <sheetFormatPr baseColWidth="10" defaultRowHeight="16"/>
  <cols>
    <col min="57" max="57" width="17.83203125" customWidth="1"/>
  </cols>
  <sheetData>
    <row r="2" spans="1:63">
      <c r="B2" s="44" t="s">
        <v>84</v>
      </c>
      <c r="C2">
        <v>0.1595973</v>
      </c>
      <c r="E2" t="s">
        <v>101</v>
      </c>
      <c r="F2">
        <v>0.47499999999999998</v>
      </c>
      <c r="H2" s="45" t="s">
        <v>102</v>
      </c>
      <c r="I2" s="46" t="s">
        <v>85</v>
      </c>
      <c r="K2" s="47"/>
    </row>
    <row r="3" spans="1:63" ht="80">
      <c r="A3" s="42" t="s">
        <v>1</v>
      </c>
      <c r="B3" s="42" t="s">
        <v>2</v>
      </c>
      <c r="C3" s="42" t="s">
        <v>6</v>
      </c>
      <c r="D3" s="42" t="s">
        <v>4</v>
      </c>
      <c r="E3" s="42" t="s">
        <v>5</v>
      </c>
      <c r="F3" s="42" t="s">
        <v>24</v>
      </c>
      <c r="G3" s="42" t="s">
        <v>7</v>
      </c>
      <c r="H3" s="42" t="s">
        <v>8</v>
      </c>
      <c r="I3" s="42"/>
      <c r="J3" s="42" t="s">
        <v>2</v>
      </c>
      <c r="K3" s="42" t="s">
        <v>6</v>
      </c>
      <c r="L3" s="42" t="s">
        <v>4</v>
      </c>
      <c r="M3" s="42" t="s">
        <v>5</v>
      </c>
      <c r="N3" s="42" t="s">
        <v>3</v>
      </c>
      <c r="O3" s="42" t="s">
        <v>7</v>
      </c>
      <c r="P3" s="42" t="s">
        <v>8</v>
      </c>
      <c r="Q3" s="42"/>
      <c r="R3" s="42" t="s">
        <v>2</v>
      </c>
      <c r="S3" s="42" t="s">
        <v>6</v>
      </c>
      <c r="T3" s="42" t="s">
        <v>4</v>
      </c>
      <c r="U3" s="42" t="s">
        <v>5</v>
      </c>
      <c r="V3" s="42" t="s">
        <v>3</v>
      </c>
      <c r="W3" s="42" t="s">
        <v>7</v>
      </c>
      <c r="X3" s="42" t="s">
        <v>8</v>
      </c>
      <c r="Y3" s="42"/>
      <c r="Z3" s="42" t="s">
        <v>2</v>
      </c>
      <c r="AA3" s="42" t="s">
        <v>6</v>
      </c>
      <c r="AB3" s="42" t="s">
        <v>4</v>
      </c>
      <c r="AC3" s="42" t="s">
        <v>5</v>
      </c>
      <c r="AD3" s="42" t="s">
        <v>3</v>
      </c>
      <c r="AE3" s="42" t="s">
        <v>7</v>
      </c>
      <c r="AF3" s="42" t="s">
        <v>8</v>
      </c>
      <c r="AG3" s="42"/>
      <c r="AH3" s="42" t="s">
        <v>2</v>
      </c>
      <c r="AI3" s="42" t="s">
        <v>6</v>
      </c>
      <c r="AJ3" s="42" t="s">
        <v>4</v>
      </c>
      <c r="AK3" s="42" t="s">
        <v>5</v>
      </c>
      <c r="AL3" s="42" t="s">
        <v>3</v>
      </c>
      <c r="AM3" s="42" t="s">
        <v>7</v>
      </c>
      <c r="AN3" s="42" t="s">
        <v>8</v>
      </c>
      <c r="AO3" s="42"/>
      <c r="AP3" s="42" t="s">
        <v>2</v>
      </c>
      <c r="AQ3" s="42" t="s">
        <v>6</v>
      </c>
      <c r="AR3" s="42" t="s">
        <v>4</v>
      </c>
      <c r="AS3" s="42" t="s">
        <v>5</v>
      </c>
      <c r="AT3" s="42" t="s">
        <v>3</v>
      </c>
      <c r="AU3" s="42" t="s">
        <v>7</v>
      </c>
      <c r="AV3" s="42" t="s">
        <v>8</v>
      </c>
      <c r="AW3" s="42"/>
      <c r="AX3" s="42" t="s">
        <v>13</v>
      </c>
      <c r="AY3" s="42" t="s">
        <v>14</v>
      </c>
      <c r="AZ3" s="42" t="s">
        <v>10</v>
      </c>
      <c r="BA3" s="42" t="s">
        <v>11</v>
      </c>
      <c r="BB3" s="42" t="s">
        <v>12</v>
      </c>
      <c r="BC3" s="42" t="s">
        <v>15</v>
      </c>
      <c r="BD3" s="42"/>
      <c r="BE3" s="42" t="s">
        <v>71</v>
      </c>
      <c r="BF3" s="42"/>
      <c r="BG3" s="42" t="s">
        <v>16</v>
      </c>
      <c r="BH3" s="42" t="s">
        <v>93</v>
      </c>
      <c r="BI3" s="42" t="s">
        <v>70</v>
      </c>
      <c r="BJ3" s="42" t="s">
        <v>92</v>
      </c>
      <c r="BK3" s="42"/>
    </row>
    <row r="4" spans="1:63">
      <c r="A4" s="39">
        <v>0</v>
      </c>
      <c r="B4" s="41" t="s">
        <v>106</v>
      </c>
      <c r="C4">
        <v>0.88100000000000001</v>
      </c>
      <c r="D4" s="45">
        <f>A4*0.7*0.93</f>
        <v>0</v>
      </c>
      <c r="E4">
        <v>0</v>
      </c>
      <c r="F4">
        <f>0.0673*(C4*D4^2*E4)^0.976</f>
        <v>0</v>
      </c>
      <c r="G4">
        <v>65</v>
      </c>
      <c r="H4">
        <f>F4*G4*$F$2</f>
        <v>0</v>
      </c>
      <c r="J4" s="40" t="s">
        <v>117</v>
      </c>
      <c r="K4">
        <v>0.36</v>
      </c>
      <c r="L4" s="45">
        <f>A4*0.5*0.93</f>
        <v>0</v>
      </c>
      <c r="M4">
        <f>IF(50.453*(1-EXP(-0.047*L4^(0.812)))&gt;10, 10, 50.453*(1-EXP(-0.047*L4^(0.812))))</f>
        <v>0</v>
      </c>
      <c r="N4">
        <f>0.0673*(K4*L4^2*M4)^0.976</f>
        <v>0</v>
      </c>
      <c r="O4">
        <v>65</v>
      </c>
      <c r="P4">
        <f>N4*O4*$F$2</f>
        <v>0</v>
      </c>
      <c r="R4" s="41" t="s">
        <v>111</v>
      </c>
      <c r="S4">
        <v>0.34</v>
      </c>
      <c r="T4" s="45">
        <f>A4*2.3*0.93</f>
        <v>0</v>
      </c>
      <c r="U4">
        <f>IF(50.453*(1-EXP(-0.047*T4^(0.812)))&gt;35, 35, 50.453*(1-EXP(-0.047*T4^(0.812))))</f>
        <v>0</v>
      </c>
      <c r="V4">
        <f>0.0673*(S4*T4^2*U4)^0.976</f>
        <v>0</v>
      </c>
      <c r="W4">
        <v>65</v>
      </c>
      <c r="X4">
        <f>V4*W4*$F$2</f>
        <v>0</v>
      </c>
      <c r="Z4" s="40" t="s">
        <v>86</v>
      </c>
      <c r="AA4">
        <v>0.6</v>
      </c>
      <c r="AB4" s="45">
        <f>A4*1.3*0.93</f>
        <v>0</v>
      </c>
      <c r="AC4">
        <v>0</v>
      </c>
      <c r="AD4">
        <f>0.0673*(AA4*AB4^2*AC4)^0.976</f>
        <v>0</v>
      </c>
      <c r="AE4">
        <v>65</v>
      </c>
      <c r="AF4">
        <f>AD4*AE4*$F$2</f>
        <v>0</v>
      </c>
      <c r="AH4" s="41" t="s">
        <v>125</v>
      </c>
      <c r="AI4">
        <v>0.215</v>
      </c>
      <c r="AJ4" s="45">
        <f>$A4*1*0.93</f>
        <v>0</v>
      </c>
      <c r="AK4">
        <f>IF(50.453*(1-EXP(-0.047*AJ4^(0.812)))&gt;25, 25, 50.453*(1-EXP(-0.047*AJ4^(0.812))))</f>
        <v>0</v>
      </c>
      <c r="AL4">
        <f>0.0673*(AI4*AJ4^2*AK4)^0.976</f>
        <v>0</v>
      </c>
      <c r="AM4">
        <v>65</v>
      </c>
      <c r="AN4">
        <f>AL4*AM4*$F$2</f>
        <v>0</v>
      </c>
      <c r="AP4" s="41" t="s">
        <v>31</v>
      </c>
      <c r="AQ4">
        <v>0.67500000000000004</v>
      </c>
      <c r="AR4" s="45">
        <f>$A4*1*0.93</f>
        <v>0</v>
      </c>
      <c r="AS4">
        <f>IF(50.453*(1-EXP(-0.047*AR4^(0.812)))&gt;25, 25, 50.453*(1-EXP(-0.047*AR4^(0.812))))</f>
        <v>0</v>
      </c>
      <c r="AT4">
        <f>0.0673*(AQ4*AR4^2*AS4)^0.976</f>
        <v>0</v>
      </c>
      <c r="AU4">
        <v>65</v>
      </c>
      <c r="AV4">
        <f>AT4*AU4*$F$2</f>
        <v>0</v>
      </c>
      <c r="AX4">
        <v>0</v>
      </c>
      <c r="AY4">
        <f>AX4*3.67</f>
        <v>0</v>
      </c>
      <c r="AZ4">
        <f>SUM(H4,P4,X4,AF4,AN4,AV4)*3.67/1000</f>
        <v>0</v>
      </c>
      <c r="BA4">
        <f>AZ4*0.33</f>
        <v>0</v>
      </c>
      <c r="BB4">
        <f>AZ4+BA4</f>
        <v>0</v>
      </c>
      <c r="BC4">
        <f>BB4+AY4</f>
        <v>0</v>
      </c>
      <c r="BE4">
        <v>6.37</v>
      </c>
      <c r="BG4">
        <f>SUM(AM34,AE34,W34,O34,G34,AU34)</f>
        <v>202.34160895280286</v>
      </c>
      <c r="BH4">
        <f>SUM(G4,O4,W4,AE4,AM4,AU4)</f>
        <v>390</v>
      </c>
      <c r="BI4">
        <f>AVERAGE(D4,L4,T4,AB4,AJ4)</f>
        <v>0</v>
      </c>
      <c r="BJ4">
        <f>SUM(D4*G4,L4*O4,T4*W4,AB4*AE4,AJ4*AM4)/BH4</f>
        <v>0</v>
      </c>
    </row>
    <row r="5" spans="1:63">
      <c r="A5" s="39">
        <v>1</v>
      </c>
      <c r="B5" s="41" t="s">
        <v>106</v>
      </c>
      <c r="C5">
        <v>0.88100000000000001</v>
      </c>
      <c r="D5" s="45">
        <f>A5*0.4*0.93</f>
        <v>0.37200000000000005</v>
      </c>
      <c r="E5">
        <f>IF(EXP(0.893-$C$2+0.76*LN(D5)-0.034*(LN(D5))^2)&gt;22.5, 22.5, EXP(0.893-$C$2+0.76*LN(D5)-0.034*(LN(D5))^2))</f>
        <v>0.9499187940711552</v>
      </c>
      <c r="F5">
        <f t="shared" ref="F5:F34" si="0">0.0673*(C5*D5^2*E5)^0.976</f>
        <v>8.2079249014313151E-3</v>
      </c>
      <c r="G5">
        <f>G4*0.6</f>
        <v>39</v>
      </c>
      <c r="H5">
        <f t="shared" ref="H5:H34" si="1">F5*G5*$F$2</f>
        <v>0.15205180879901509</v>
      </c>
      <c r="J5" s="40" t="s">
        <v>117</v>
      </c>
      <c r="K5">
        <v>0.36</v>
      </c>
      <c r="L5" s="45">
        <f t="shared" ref="L5:L34" si="2">A5*0.5*0.93</f>
        <v>0.46500000000000002</v>
      </c>
      <c r="M5">
        <f>IF(EXP(0.893-$C$2+0.76*LN(L5)-0.034*(LN(L5))^2)&gt;7, 7, EXP(0.893-$C$2+0.76*LN(L5)-0.034*(LN(L5))^2))</f>
        <v>1.140563119505174</v>
      </c>
      <c r="N5">
        <f t="shared" ref="N5:N33" si="3">0.0673*(K5*L5^2*M5)^0.976</f>
        <v>6.3326127303022966E-3</v>
      </c>
      <c r="O5">
        <f>O4*0.6</f>
        <v>39</v>
      </c>
      <c r="P5">
        <f t="shared" ref="P5:P33" si="4">N5*O5*$F$2</f>
        <v>0.11731165082885005</v>
      </c>
      <c r="R5" s="41" t="s">
        <v>111</v>
      </c>
      <c r="S5">
        <v>0.34</v>
      </c>
      <c r="T5" s="45">
        <f t="shared" ref="T5:T34" si="5">A5*2.3*0.93</f>
        <v>2.1389999999999998</v>
      </c>
      <c r="U5">
        <f>IF(50.453*(1-EXP(-0.047*T5^(0.812)))&gt;30, 30, 50.453*(1-EXP(-0.047*T5^(0.812))))</f>
        <v>4.2104712430511748</v>
      </c>
      <c r="V5">
        <f t="shared" ref="V5:V34" si="6">0.0673*(S5*T5^2*U5)^0.976</f>
        <v>0.42136330067889016</v>
      </c>
      <c r="W5">
        <f>W4*0.6</f>
        <v>39</v>
      </c>
      <c r="X5">
        <f t="shared" ref="X5:X34" si="7">V5*W5*$F$2</f>
        <v>7.8057551450764393</v>
      </c>
      <c r="Z5" s="40" t="s">
        <v>86</v>
      </c>
      <c r="AA5">
        <v>0.6</v>
      </c>
      <c r="AB5" s="45">
        <f>A5*1.5*0.93</f>
        <v>1.395</v>
      </c>
      <c r="AC5">
        <f>IF(EXP(0.893-$C$2+0.76*LN(AB5)-0.034*(LN(AB5))^2)&gt;8, 8, EXP(0.893-$C$2+0.76*LN(AB5)-0.034*(LN(AB5))^2))</f>
        <v>2.6714853272901968</v>
      </c>
      <c r="AD5">
        <f t="shared" ref="AD5:AD34" si="8">0.0673*(AA5*AB5^2*AC5)^0.976</f>
        <v>0.20427266931826618</v>
      </c>
      <c r="AE5">
        <f>AE4*0.6</f>
        <v>39</v>
      </c>
      <c r="AF5">
        <f>AD5*AE5*$F$2</f>
        <v>3.7841511991208807</v>
      </c>
      <c r="AH5" s="41" t="s">
        <v>125</v>
      </c>
      <c r="AI5">
        <v>0.215</v>
      </c>
      <c r="AJ5" s="45">
        <f>$A5*1.18*0.93</f>
        <v>1.0973999999999999</v>
      </c>
      <c r="AK5">
        <f>IF(EXP(0.893-$C$2+0.76*LN(AJ5)-0.034*(LN(AJ5))^2)&gt;20, 20, EXP(0.893-$C$2+0.76*LN(AJ5)-0.034*(LN(AJ5))^2))</f>
        <v>2.2338939672398963</v>
      </c>
      <c r="AL5">
        <f t="shared" ref="AL5:AL34" si="9">0.0673*(AI5*AJ5^2*AK5)^0.976</f>
        <v>3.9441411513377919E-2</v>
      </c>
      <c r="AM5">
        <f>AM4*0.6</f>
        <v>39</v>
      </c>
      <c r="AN5">
        <f t="shared" ref="AN5:AN34" si="10">AL5*AM5*$F$2</f>
        <v>0.73065214828532588</v>
      </c>
      <c r="AP5" s="41" t="s">
        <v>31</v>
      </c>
      <c r="AQ5">
        <v>0.67500000000000004</v>
      </c>
      <c r="AR5" s="45">
        <f>AR6/2</f>
        <v>0.22305446636195617</v>
      </c>
      <c r="AS5">
        <f>IF(EXP(0.893-$C$2+0.76*LN(AR5)-0.034*(LN(AR5))^2)&gt;20, 20, EXP(0.893-$C$2+0.76*LN(AR5)-0.034*(LN(AR5))^2))</f>
        <v>0.61668940642705572</v>
      </c>
      <c r="AT5">
        <f t="shared" ref="AT5:AT34" si="11">0.0673*(AQ5*AR5^2*AS5)^0.976</f>
        <v>1.5297433086999728E-3</v>
      </c>
      <c r="AU5">
        <f>AU4*0.6</f>
        <v>39</v>
      </c>
      <c r="AV5">
        <f t="shared" ref="AV5:AV34" si="12">AT5*AU5*$F$2</f>
        <v>2.8338494793666992E-2</v>
      </c>
      <c r="AX5">
        <f>AX4+Calculations!$C$24</f>
        <v>0.2074893333333333</v>
      </c>
      <c r="AY5">
        <f t="shared" ref="AY5:AY34" si="13">AX5*3.67</f>
        <v>0.76148585333333318</v>
      </c>
      <c r="AZ5">
        <f t="shared" ref="AZ5:AZ34" si="14">SUM(H5,P5,X5,AF5,AN5,AV5)*3.67/1000</f>
        <v>4.6309015840138336E-2</v>
      </c>
      <c r="BA5">
        <f>AZ5*0.33</f>
        <v>1.5281975227245651E-2</v>
      </c>
      <c r="BB5">
        <f t="shared" ref="BB5:BB34" si="15">AZ5+BA5</f>
        <v>6.1590991067383985E-2</v>
      </c>
      <c r="BC5">
        <f t="shared" ref="BC5:BC34" si="16">BB5+AY5</f>
        <v>0.82307684440071716</v>
      </c>
      <c r="BH5">
        <f t="shared" ref="BH5:BH34" si="17">SUM(G5,O5,W5,AE5,AM5,AU5)</f>
        <v>234</v>
      </c>
      <c r="BI5">
        <f>AVERAGE(D5,L5,T5,AB5,AJ5)</f>
        <v>1.0936800000000002</v>
      </c>
      <c r="BJ5">
        <f>SUM(D5*G5,L5*O5,T5*W5,AB5*AE5,AJ5*AM5)/BH5</f>
        <v>0.91139999999999999</v>
      </c>
    </row>
    <row r="6" spans="1:63" ht="19">
      <c r="A6" s="39">
        <v>2</v>
      </c>
      <c r="B6" s="41" t="s">
        <v>106</v>
      </c>
      <c r="C6">
        <v>0.88100000000000001</v>
      </c>
      <c r="D6" s="45">
        <f t="shared" ref="D6:D34" si="18">A6*0.4*0.93</f>
        <v>0.74400000000000011</v>
      </c>
      <c r="E6">
        <f t="shared" ref="E6:E34" si="19">IF(EXP(0.893-$C$2+0.76*LN(D6)-0.034*(LN(D6))^2)&gt;22.5, 22.5, EXP(0.893-$C$2+0.76*LN(D6)-0.034*(LN(D6))^2))</f>
        <v>1.6581237289719131</v>
      </c>
      <c r="F6">
        <f t="shared" si="0"/>
        <v>5.4697572048358387E-2</v>
      </c>
      <c r="G6">
        <f>G5*0.995</f>
        <v>38.805</v>
      </c>
      <c r="H6">
        <f t="shared" si="1"/>
        <v>1.0082061595848599</v>
      </c>
      <c r="J6" s="40" t="s">
        <v>117</v>
      </c>
      <c r="K6">
        <v>0.36</v>
      </c>
      <c r="L6" s="45">
        <f t="shared" si="2"/>
        <v>0.93</v>
      </c>
      <c r="M6">
        <f t="shared" ref="M6:M34" si="20">IF(EXP(0.893-$C$2+0.76*LN(L6)-0.034*(LN(L6))^2)&gt;7, 7, EXP(0.893-$C$2+0.76*LN(L6)-0.034*(LN(L6))^2))</f>
        <v>1.9700716492376908</v>
      </c>
      <c r="N6">
        <f t="shared" si="3"/>
        <v>4.1769518916899138E-2</v>
      </c>
      <c r="O6">
        <f>O5*0.995</f>
        <v>38.805</v>
      </c>
      <c r="P6">
        <f t="shared" si="4"/>
        <v>0.76991143624587866</v>
      </c>
      <c r="R6" s="41" t="s">
        <v>111</v>
      </c>
      <c r="S6">
        <v>0.34</v>
      </c>
      <c r="T6" s="45">
        <f t="shared" si="5"/>
        <v>4.2779999999999996</v>
      </c>
      <c r="U6">
        <f t="shared" ref="U6:U34" si="21">IF(50.453*(1-EXP(-0.047*T6^(0.812)))&gt;30, 30, 50.453*(1-EXP(-0.047*T6^(0.812))))</f>
        <v>7.1573836800950836</v>
      </c>
      <c r="V6">
        <f t="shared" si="6"/>
        <v>2.7362809432139472</v>
      </c>
      <c r="W6">
        <f>W5*0.995</f>
        <v>38.805</v>
      </c>
      <c r="X6">
        <f t="shared" si="7"/>
        <v>50.436156450673174</v>
      </c>
      <c r="Z6" s="40" t="s">
        <v>86</v>
      </c>
      <c r="AA6">
        <v>0.6</v>
      </c>
      <c r="AB6" s="45">
        <f t="shared" ref="AB6:AB34" si="22">A6*1.5*0.93</f>
        <v>2.79</v>
      </c>
      <c r="AC6">
        <f t="shared" ref="AC6:AC34" si="23">IF(EXP(0.893-$C$2+0.76*LN(AB6)-0.034*(LN(AB6))^2)&gt;8, 8, EXP(0.893-$C$2+0.76*LN(AB6)-0.034*(LN(AB6))^2))</f>
        <v>4.3815407271194626</v>
      </c>
      <c r="AD6">
        <f t="shared" si="8"/>
        <v>1.2809668705659905</v>
      </c>
      <c r="AE6">
        <f>AE5*0.995</f>
        <v>38.805</v>
      </c>
      <c r="AF6">
        <f t="shared" ref="AF6:AF34" si="24">AD6*AE6*$F$2</f>
        <v>23.611261720848798</v>
      </c>
      <c r="AH6" s="41" t="s">
        <v>125</v>
      </c>
      <c r="AI6">
        <v>0.215</v>
      </c>
      <c r="AJ6" s="45">
        <f t="shared" ref="AJ6:AJ34" si="25">$A6*1.18*0.93</f>
        <v>2.1947999999999999</v>
      </c>
      <c r="AK6">
        <f t="shared" ref="AK6:AK34" si="26">IF(EXP(0.893-$C$2+0.76*LN(AJ6)-0.034*(LN(AJ6))^2)&gt;20, 20, EXP(0.893-$C$2+0.76*LN(AJ6)-0.034*(LN(AJ6))^2))</f>
        <v>3.7055136266306965</v>
      </c>
      <c r="AL6">
        <f t="shared" si="9"/>
        <v>0.25007714304863821</v>
      </c>
      <c r="AM6">
        <f>AM5*0.995</f>
        <v>38.805</v>
      </c>
      <c r="AN6">
        <f t="shared" si="10"/>
        <v>4.6095156796011425</v>
      </c>
      <c r="AP6" s="41" t="s">
        <v>31</v>
      </c>
      <c r="AQ6">
        <v>0.67500000000000004</v>
      </c>
      <c r="AR6" s="45">
        <f>(10.348*LN(A6)-6.693)*0.93</f>
        <v>0.44610893272391233</v>
      </c>
      <c r="AS6">
        <f>IF(EXP(0.893-$C$2+0.76*LN(AR6)-0.034*(LN(AR6))^2)&gt;15, 15, EXP(0.893-$C$2+0.76*LN(AR6)-0.034*(LN(AR6))^2))</f>
        <v>1.1027242229265279</v>
      </c>
      <c r="AT6">
        <f t="shared" si="11"/>
        <v>1.0436909796128178E-2</v>
      </c>
      <c r="AU6">
        <f>AU5*0.995</f>
        <v>38.805</v>
      </c>
      <c r="AV6">
        <f t="shared" si="12"/>
        <v>0.19237703520340813</v>
      </c>
      <c r="AX6">
        <f>AX5+Calculations!$C$24</f>
        <v>0.41497866666666661</v>
      </c>
      <c r="AY6">
        <f t="shared" si="13"/>
        <v>1.5229717066666664</v>
      </c>
      <c r="AZ6">
        <f t="shared" si="14"/>
        <v>0.29590266252951708</v>
      </c>
      <c r="BA6">
        <f t="shared" ref="BA6:BA34" si="27">AZ6*0.33</f>
        <v>9.7647878634740642E-2</v>
      </c>
      <c r="BB6">
        <f t="shared" si="15"/>
        <v>0.39355054116425769</v>
      </c>
      <c r="BC6">
        <f t="shared" si="16"/>
        <v>1.9165222478309241</v>
      </c>
      <c r="BE6" s="38" t="s">
        <v>17</v>
      </c>
      <c r="BH6">
        <f t="shared" si="17"/>
        <v>232.83</v>
      </c>
      <c r="BI6">
        <f>AVERAGE(D6,L6,T6,AB6,AJ6,AR6)</f>
        <v>1.8971514887873191</v>
      </c>
      <c r="BJ6">
        <f>SUM(D6*G6,L6*O6,T6*W6,AB6*AE6,AJ6*AM6,AR6*AU6)/BH6</f>
        <v>1.8971514887873184</v>
      </c>
    </row>
    <row r="7" spans="1:63">
      <c r="A7" s="39">
        <v>3</v>
      </c>
      <c r="B7" s="41" t="s">
        <v>106</v>
      </c>
      <c r="C7">
        <v>0.88100000000000001</v>
      </c>
      <c r="D7" s="45">
        <f t="shared" si="18"/>
        <v>1.1160000000000003</v>
      </c>
      <c r="E7">
        <f t="shared" si="19"/>
        <v>2.2623493710319655</v>
      </c>
      <c r="F7">
        <f t="shared" si="0"/>
        <v>0.1634565392682753</v>
      </c>
      <c r="G7">
        <f t="shared" ref="G7:G34" si="28">G6*0.995</f>
        <v>38.610974999999996</v>
      </c>
      <c r="H7">
        <f t="shared" si="1"/>
        <v>2.9978277668550999</v>
      </c>
      <c r="J7" s="40" t="s">
        <v>117</v>
      </c>
      <c r="K7">
        <v>0.36</v>
      </c>
      <c r="L7" s="45">
        <f t="shared" si="2"/>
        <v>1.395</v>
      </c>
      <c r="M7">
        <f t="shared" si="20"/>
        <v>2.6714853272901968</v>
      </c>
      <c r="N7">
        <f t="shared" si="3"/>
        <v>0.12407545726766706</v>
      </c>
      <c r="O7">
        <f t="shared" ref="O7:O34" si="29">O6*0.995</f>
        <v>38.610974999999996</v>
      </c>
      <c r="P7">
        <f t="shared" si="4"/>
        <v>2.2755703298708436</v>
      </c>
      <c r="R7" s="41" t="s">
        <v>111</v>
      </c>
      <c r="S7">
        <v>0.34</v>
      </c>
      <c r="T7" s="45">
        <f t="shared" si="5"/>
        <v>6.4169999999999998</v>
      </c>
      <c r="U7">
        <f t="shared" si="21"/>
        <v>9.6645471786157255</v>
      </c>
      <c r="V7">
        <f t="shared" si="6"/>
        <v>8.0944581528538482</v>
      </c>
      <c r="W7">
        <f t="shared" ref="W7:W34" si="30">W6*0.995</f>
        <v>38.610974999999996</v>
      </c>
      <c r="X7">
        <f t="shared" si="7"/>
        <v>148.45408765473337</v>
      </c>
      <c r="Z7" s="40" t="s">
        <v>86</v>
      </c>
      <c r="AA7">
        <v>0.6</v>
      </c>
      <c r="AB7" s="45">
        <f t="shared" si="22"/>
        <v>4.1850000000000005</v>
      </c>
      <c r="AC7">
        <f t="shared" si="23"/>
        <v>5.7642474410442812</v>
      </c>
      <c r="AD7">
        <f t="shared" si="8"/>
        <v>3.6942392628326388</v>
      </c>
      <c r="AE7">
        <f t="shared" ref="AE7:AE34" si="31">AE6*0.995</f>
        <v>38.610974999999996</v>
      </c>
      <c r="AF7">
        <f t="shared" si="24"/>
        <v>67.753135415093467</v>
      </c>
      <c r="AH7" s="41" t="s">
        <v>125</v>
      </c>
      <c r="AI7">
        <v>0.215</v>
      </c>
      <c r="AJ7" s="45">
        <f t="shared" si="25"/>
        <v>3.2922000000000002</v>
      </c>
      <c r="AK7">
        <f t="shared" si="26"/>
        <v>4.9072410983632349</v>
      </c>
      <c r="AL7">
        <f t="shared" si="9"/>
        <v>0.72588092259061243</v>
      </c>
      <c r="AM7">
        <f t="shared" ref="AM7:AM34" si="32">AM6*0.995</f>
        <v>38.610974999999996</v>
      </c>
      <c r="AN7">
        <f t="shared" si="10"/>
        <v>13.312810823683458</v>
      </c>
      <c r="AP7" s="41" t="s">
        <v>31</v>
      </c>
      <c r="AQ7">
        <v>0.67500000000000004</v>
      </c>
      <c r="AR7" s="45">
        <f t="shared" ref="AR7:AR34" si="33">(10.348*LN(A7)-6.693)*0.93</f>
        <v>4.348159165717969</v>
      </c>
      <c r="AS7">
        <f t="shared" ref="AS7:AS34" si="34">IF(EXP(0.893-$C$2+0.76*LN(AR7)-0.034*(LN(AR7))^2)&gt;15, 15, EXP(0.893-$C$2+0.76*LN(AR7)-0.034*(LN(AR7))^2))</f>
        <v>5.9119089797493611</v>
      </c>
      <c r="AT7">
        <f t="shared" si="11"/>
        <v>4.5771381984028379</v>
      </c>
      <c r="AU7">
        <f t="shared" ref="AU7:AU34" si="35">AU6*0.995</f>
        <v>38.610974999999996</v>
      </c>
      <c r="AV7">
        <f t="shared" si="12"/>
        <v>83.94569006128657</v>
      </c>
      <c r="AX7">
        <f>AX6+Calculations!$C$24</f>
        <v>0.62246799999999991</v>
      </c>
      <c r="AY7">
        <f t="shared" si="13"/>
        <v>2.2844575599999994</v>
      </c>
      <c r="AZ7">
        <f t="shared" si="14"/>
        <v>1.1697725779290888</v>
      </c>
      <c r="BA7">
        <f t="shared" si="27"/>
        <v>0.38602495071659931</v>
      </c>
      <c r="BB7">
        <f t="shared" si="15"/>
        <v>1.5557975286456882</v>
      </c>
      <c r="BC7">
        <f t="shared" si="16"/>
        <v>3.8402550886456877</v>
      </c>
      <c r="BE7">
        <f>BC34*BE4</f>
        <v>1827.7601825498962</v>
      </c>
      <c r="BH7">
        <f t="shared" si="17"/>
        <v>231.66584999999998</v>
      </c>
      <c r="BI7">
        <f t="shared" ref="BI7:BI34" si="36">AVERAGE(D7,L7,T7,AB7,AJ7,AR7)</f>
        <v>3.4588931942863286</v>
      </c>
      <c r="BJ7">
        <f t="shared" ref="BJ7:BJ34" si="37">SUM(D7*G7,L7*O7,T7*W7,AB7*AE7,AJ7*AM7,AR7*AU7)/BH7</f>
        <v>3.4588931942863286</v>
      </c>
    </row>
    <row r="8" spans="1:63">
      <c r="A8" s="39">
        <v>4</v>
      </c>
      <c r="B8" s="41" t="s">
        <v>106</v>
      </c>
      <c r="C8">
        <v>0.88100000000000001</v>
      </c>
      <c r="D8" s="45">
        <f t="shared" si="18"/>
        <v>1.4880000000000002</v>
      </c>
      <c r="E8">
        <f t="shared" si="19"/>
        <v>2.8012936595447586</v>
      </c>
      <c r="F8">
        <f t="shared" si="0"/>
        <v>0.35306486688690963</v>
      </c>
      <c r="G8">
        <f t="shared" si="28"/>
        <v>38.417920124999995</v>
      </c>
      <c r="H8">
        <f t="shared" si="1"/>
        <v>6.4429084811273984</v>
      </c>
      <c r="J8" s="40" t="s">
        <v>117</v>
      </c>
      <c r="K8">
        <v>0.36</v>
      </c>
      <c r="L8" s="45">
        <f t="shared" si="2"/>
        <v>1.86</v>
      </c>
      <c r="M8">
        <f t="shared" si="20"/>
        <v>3.2934871077857624</v>
      </c>
      <c r="N8">
        <f t="shared" si="3"/>
        <v>0.26686265139593196</v>
      </c>
      <c r="O8">
        <f t="shared" si="29"/>
        <v>38.417920124999995</v>
      </c>
      <c r="P8">
        <f t="shared" si="4"/>
        <v>4.8698463121954507</v>
      </c>
      <c r="R8" s="41" t="s">
        <v>111</v>
      </c>
      <c r="S8">
        <v>0.34</v>
      </c>
      <c r="T8" s="45">
        <f t="shared" si="5"/>
        <v>8.5559999999999992</v>
      </c>
      <c r="U8">
        <f t="shared" si="21"/>
        <v>11.884153807682253</v>
      </c>
      <c r="V8">
        <f t="shared" si="6"/>
        <v>17.366010824716177</v>
      </c>
      <c r="W8">
        <f t="shared" si="30"/>
        <v>38.417920124999995</v>
      </c>
      <c r="X8">
        <f t="shared" si="7"/>
        <v>316.90385795806992</v>
      </c>
      <c r="Z8" s="40" t="s">
        <v>86</v>
      </c>
      <c r="AA8">
        <v>0.6</v>
      </c>
      <c r="AB8" s="45">
        <f t="shared" si="22"/>
        <v>5.58</v>
      </c>
      <c r="AC8">
        <f t="shared" si="23"/>
        <v>6.9552406681794228</v>
      </c>
      <c r="AD8">
        <f t="shared" si="8"/>
        <v>7.7806756470081506</v>
      </c>
      <c r="AE8">
        <f t="shared" si="31"/>
        <v>38.417920124999995</v>
      </c>
      <c r="AF8">
        <f t="shared" si="24"/>
        <v>141.98575337451359</v>
      </c>
      <c r="AH8" s="41" t="s">
        <v>125</v>
      </c>
      <c r="AI8">
        <v>0.215</v>
      </c>
      <c r="AJ8" s="45">
        <f t="shared" si="25"/>
        <v>4.3895999999999997</v>
      </c>
      <c r="AK8">
        <f t="shared" si="26"/>
        <v>5.9490212982485922</v>
      </c>
      <c r="AL8">
        <f t="shared" si="9"/>
        <v>1.5358447913685263</v>
      </c>
      <c r="AM8">
        <f t="shared" si="32"/>
        <v>38.417920124999995</v>
      </c>
      <c r="AN8">
        <f t="shared" si="10"/>
        <v>28.026882196616828</v>
      </c>
      <c r="AP8" s="41" t="s">
        <v>31</v>
      </c>
      <c r="AQ8">
        <v>0.67500000000000004</v>
      </c>
      <c r="AR8" s="45">
        <f t="shared" si="33"/>
        <v>7.1167078654478244</v>
      </c>
      <c r="AS8">
        <f t="shared" si="34"/>
        <v>8.1166749187898439</v>
      </c>
      <c r="AT8">
        <f t="shared" si="11"/>
        <v>16.316142969166702</v>
      </c>
      <c r="AU8">
        <f t="shared" si="35"/>
        <v>38.417920124999995</v>
      </c>
      <c r="AV8">
        <f t="shared" si="12"/>
        <v>297.74533173532512</v>
      </c>
      <c r="AX8">
        <f>AX7+Calculations!$C$24</f>
        <v>0.82995733333333321</v>
      </c>
      <c r="AY8">
        <f t="shared" si="13"/>
        <v>3.0459434133333327</v>
      </c>
      <c r="AZ8">
        <f t="shared" si="14"/>
        <v>2.921226708812303</v>
      </c>
      <c r="BA8">
        <f t="shared" si="27"/>
        <v>0.96400481390806003</v>
      </c>
      <c r="BB8">
        <f t="shared" si="15"/>
        <v>3.8852315227203631</v>
      </c>
      <c r="BC8">
        <f t="shared" si="16"/>
        <v>6.9311749360536954</v>
      </c>
      <c r="BH8">
        <f t="shared" si="17"/>
        <v>230.50752074999997</v>
      </c>
      <c r="BI8">
        <f t="shared" si="36"/>
        <v>4.8317179775746384</v>
      </c>
      <c r="BJ8">
        <f t="shared" si="37"/>
        <v>4.8317179775746375</v>
      </c>
    </row>
    <row r="9" spans="1:63" ht="19">
      <c r="A9" s="39">
        <v>5</v>
      </c>
      <c r="B9" s="41" t="s">
        <v>106</v>
      </c>
      <c r="C9">
        <v>0.88100000000000001</v>
      </c>
      <c r="D9" s="45">
        <f t="shared" si="18"/>
        <v>1.86</v>
      </c>
      <c r="E9">
        <f t="shared" si="19"/>
        <v>3.2934871077857624</v>
      </c>
      <c r="F9">
        <f t="shared" si="0"/>
        <v>0.63919451924317272</v>
      </c>
      <c r="G9">
        <f t="shared" si="28"/>
        <v>38.225830524374992</v>
      </c>
      <c r="H9">
        <f t="shared" si="1"/>
        <v>11.606027148231963</v>
      </c>
      <c r="J9" s="40" t="s">
        <v>117</v>
      </c>
      <c r="K9">
        <v>0.36</v>
      </c>
      <c r="L9" s="45">
        <f t="shared" si="2"/>
        <v>2.3250000000000002</v>
      </c>
      <c r="M9">
        <f t="shared" si="20"/>
        <v>3.8590713457318873</v>
      </c>
      <c r="N9">
        <f t="shared" si="3"/>
        <v>0.48153863559707399</v>
      </c>
      <c r="O9">
        <f t="shared" si="29"/>
        <v>38.225830524374992</v>
      </c>
      <c r="P9">
        <f t="shared" si="4"/>
        <v>8.7434267807544437</v>
      </c>
      <c r="R9" s="41" t="s">
        <v>111</v>
      </c>
      <c r="S9">
        <v>0.34</v>
      </c>
      <c r="T9" s="45">
        <f t="shared" si="5"/>
        <v>10.695</v>
      </c>
      <c r="U9">
        <f t="shared" si="21"/>
        <v>13.888088633273965</v>
      </c>
      <c r="V9">
        <f t="shared" si="6"/>
        <v>31.254923999090892</v>
      </c>
      <c r="W9">
        <f t="shared" si="30"/>
        <v>38.225830524374992</v>
      </c>
      <c r="X9">
        <f t="shared" si="7"/>
        <v>567.50407822469776</v>
      </c>
      <c r="Z9" s="40" t="s">
        <v>86</v>
      </c>
      <c r="AA9">
        <v>0.6</v>
      </c>
      <c r="AB9" s="45">
        <f t="shared" si="22"/>
        <v>6.9750000000000005</v>
      </c>
      <c r="AC9">
        <f t="shared" si="23"/>
        <v>8</v>
      </c>
      <c r="AD9">
        <f t="shared" si="8"/>
        <v>13.788112353116588</v>
      </c>
      <c r="AE9">
        <f t="shared" si="31"/>
        <v>38.225830524374992</v>
      </c>
      <c r="AF9">
        <f t="shared" si="24"/>
        <v>250.35447187910606</v>
      </c>
      <c r="AH9" s="41" t="s">
        <v>125</v>
      </c>
      <c r="AI9">
        <v>0.215</v>
      </c>
      <c r="AJ9" s="45">
        <f t="shared" si="25"/>
        <v>5.4870000000000001</v>
      </c>
      <c r="AK9">
        <f t="shared" si="26"/>
        <v>6.8804031499619134</v>
      </c>
      <c r="AL9">
        <f t="shared" si="9"/>
        <v>2.7363270024686415</v>
      </c>
      <c r="AM9">
        <f t="shared" si="32"/>
        <v>38.225830524374992</v>
      </c>
      <c r="AN9">
        <f t="shared" si="10"/>
        <v>49.684226821427721</v>
      </c>
      <c r="AP9" s="41" t="s">
        <v>31</v>
      </c>
      <c r="AQ9">
        <v>0.67500000000000004</v>
      </c>
      <c r="AR9" s="45">
        <f t="shared" si="33"/>
        <v>9.2641610716173055</v>
      </c>
      <c r="AS9">
        <f t="shared" si="34"/>
        <v>9.5523139450916581</v>
      </c>
      <c r="AT9">
        <f t="shared" si="11"/>
        <v>32.004203989489582</v>
      </c>
      <c r="AU9">
        <f t="shared" si="35"/>
        <v>38.225830524374992</v>
      </c>
      <c r="AV9">
        <f t="shared" si="12"/>
        <v>581.10895694063345</v>
      </c>
      <c r="AX9">
        <f>AX8+Calculations!$C$24</f>
        <v>1.0374466666666664</v>
      </c>
      <c r="AY9">
        <f t="shared" si="13"/>
        <v>3.8074292666666656</v>
      </c>
      <c r="AZ9">
        <f t="shared" si="14"/>
        <v>5.3912343592071048</v>
      </c>
      <c r="BA9">
        <f t="shared" si="27"/>
        <v>1.7791073385383447</v>
      </c>
      <c r="BB9">
        <f t="shared" si="15"/>
        <v>7.1703416977454495</v>
      </c>
      <c r="BC9">
        <f t="shared" si="16"/>
        <v>10.977770964412116</v>
      </c>
      <c r="BE9" s="38" t="s">
        <v>30</v>
      </c>
      <c r="BF9" s="1" t="s">
        <v>32</v>
      </c>
      <c r="BH9">
        <f t="shared" si="17"/>
        <v>229.35498314624996</v>
      </c>
      <c r="BI9" s="30">
        <f t="shared" si="36"/>
        <v>6.1010268452695513</v>
      </c>
      <c r="BJ9" s="30">
        <f t="shared" si="37"/>
        <v>6.1010268452695513</v>
      </c>
    </row>
    <row r="10" spans="1:63">
      <c r="A10" s="39">
        <v>6</v>
      </c>
      <c r="B10" s="41" t="s">
        <v>106</v>
      </c>
      <c r="C10">
        <v>0.88100000000000001</v>
      </c>
      <c r="D10" s="45">
        <f t="shared" si="18"/>
        <v>2.2320000000000007</v>
      </c>
      <c r="E10">
        <f t="shared" si="19"/>
        <v>3.7497428888488944</v>
      </c>
      <c r="F10">
        <f t="shared" si="0"/>
        <v>1.0355905163997319</v>
      </c>
      <c r="G10">
        <f t="shared" si="28"/>
        <v>38.034701371753115</v>
      </c>
      <c r="H10">
        <f t="shared" si="1"/>
        <v>18.709478616474613</v>
      </c>
      <c r="J10" s="40" t="s">
        <v>117</v>
      </c>
      <c r="K10">
        <v>0.36</v>
      </c>
      <c r="L10" s="45">
        <f t="shared" si="2"/>
        <v>2.79</v>
      </c>
      <c r="M10">
        <f t="shared" si="20"/>
        <v>4.3815407271194626</v>
      </c>
      <c r="N10">
        <f t="shared" si="3"/>
        <v>0.77806076917013944</v>
      </c>
      <c r="O10">
        <f t="shared" si="29"/>
        <v>38.034701371753115</v>
      </c>
      <c r="P10">
        <f t="shared" si="4"/>
        <v>14.056821777119822</v>
      </c>
      <c r="R10" s="41" t="s">
        <v>111</v>
      </c>
      <c r="S10">
        <v>0.34</v>
      </c>
      <c r="T10" s="45">
        <f t="shared" si="5"/>
        <v>12.834</v>
      </c>
      <c r="U10">
        <f t="shared" si="21"/>
        <v>15.719085960197528</v>
      </c>
      <c r="V10">
        <f t="shared" si="6"/>
        <v>50.347071397467879</v>
      </c>
      <c r="W10">
        <f t="shared" si="30"/>
        <v>38.034701371753115</v>
      </c>
      <c r="X10">
        <f t="shared" si="7"/>
        <v>909.59451713388614</v>
      </c>
      <c r="Z10" s="40" t="s">
        <v>86</v>
      </c>
      <c r="AA10">
        <v>0.6</v>
      </c>
      <c r="AB10" s="45">
        <f t="shared" si="22"/>
        <v>8.370000000000001</v>
      </c>
      <c r="AC10">
        <f t="shared" si="23"/>
        <v>8</v>
      </c>
      <c r="AD10">
        <f t="shared" si="8"/>
        <v>19.681881192373996</v>
      </c>
      <c r="AE10">
        <f t="shared" si="31"/>
        <v>38.034701371753115</v>
      </c>
      <c r="AF10">
        <f t="shared" si="24"/>
        <v>355.58237495347777</v>
      </c>
      <c r="AH10" s="41" t="s">
        <v>125</v>
      </c>
      <c r="AI10">
        <v>0.215</v>
      </c>
      <c r="AJ10" s="45">
        <f t="shared" si="25"/>
        <v>6.5844000000000005</v>
      </c>
      <c r="AK10">
        <f t="shared" si="26"/>
        <v>7.7292012974714499</v>
      </c>
      <c r="AL10">
        <f t="shared" si="9"/>
        <v>4.375604123787765</v>
      </c>
      <c r="AM10">
        <f t="shared" si="32"/>
        <v>38.034701371753115</v>
      </c>
      <c r="AN10">
        <f t="shared" si="10"/>
        <v>79.051778180407567</v>
      </c>
      <c r="AP10" s="41" t="s">
        <v>31</v>
      </c>
      <c r="AQ10">
        <v>0.67500000000000004</v>
      </c>
      <c r="AR10" s="45">
        <f t="shared" si="33"/>
        <v>11.01875809844188</v>
      </c>
      <c r="AS10">
        <f t="shared" si="34"/>
        <v>10.604977206399607</v>
      </c>
      <c r="AT10">
        <f t="shared" si="11"/>
        <v>49.722846479612748</v>
      </c>
      <c r="AU10">
        <f t="shared" si="35"/>
        <v>38.034701371753115</v>
      </c>
      <c r="AV10">
        <f t="shared" si="12"/>
        <v>898.31696817265833</v>
      </c>
      <c r="AX10">
        <f>AX9+Calculations!$C$24</f>
        <v>1.2449359999999996</v>
      </c>
      <c r="AY10">
        <f t="shared" si="13"/>
        <v>4.568915119999998</v>
      </c>
      <c r="AZ10">
        <f t="shared" si="14"/>
        <v>8.3503948155208683</v>
      </c>
      <c r="BA10">
        <f t="shared" si="27"/>
        <v>2.7556302891218865</v>
      </c>
      <c r="BB10">
        <f t="shared" si="15"/>
        <v>11.106025104642754</v>
      </c>
      <c r="BC10">
        <f t="shared" si="16"/>
        <v>15.674940224642752</v>
      </c>
      <c r="BE10">
        <f>BE7*0.2</f>
        <v>365.55203650997925</v>
      </c>
      <c r="BF10">
        <f>BE10/BE4</f>
        <v>57.386504946621542</v>
      </c>
      <c r="BH10">
        <f t="shared" si="17"/>
        <v>228.20820823051866</v>
      </c>
      <c r="BI10">
        <f t="shared" si="36"/>
        <v>7.304859683073647</v>
      </c>
      <c r="BJ10">
        <f t="shared" si="37"/>
        <v>7.3048596830736479</v>
      </c>
    </row>
    <row r="11" spans="1:63">
      <c r="A11" s="39">
        <v>7</v>
      </c>
      <c r="B11" s="41" t="s">
        <v>106</v>
      </c>
      <c r="C11">
        <v>0.88100000000000001</v>
      </c>
      <c r="D11" s="45">
        <f t="shared" si="18"/>
        <v>2.6040000000000005</v>
      </c>
      <c r="E11">
        <f t="shared" si="19"/>
        <v>4.1771019539693732</v>
      </c>
      <c r="F11">
        <f t="shared" si="0"/>
        <v>1.5545933920240871</v>
      </c>
      <c r="G11">
        <f t="shared" si="28"/>
        <v>37.844527864894353</v>
      </c>
      <c r="H11">
        <f t="shared" si="1"/>
        <v>27.945605147942192</v>
      </c>
      <c r="J11" s="40" t="s">
        <v>117</v>
      </c>
      <c r="K11">
        <v>0.36</v>
      </c>
      <c r="L11" s="45">
        <f t="shared" si="2"/>
        <v>3.2550000000000003</v>
      </c>
      <c r="M11">
        <f t="shared" si="20"/>
        <v>4.8695026179749386</v>
      </c>
      <c r="N11">
        <f t="shared" si="3"/>
        <v>1.1653350695489504</v>
      </c>
      <c r="O11">
        <f t="shared" si="29"/>
        <v>37.844527864894353</v>
      </c>
      <c r="P11">
        <f t="shared" si="4"/>
        <v>20.948238867954828</v>
      </c>
      <c r="R11" s="41" t="s">
        <v>111</v>
      </c>
      <c r="S11">
        <v>0.34</v>
      </c>
      <c r="T11" s="45">
        <f t="shared" si="5"/>
        <v>14.972999999999999</v>
      </c>
      <c r="U11">
        <f t="shared" si="21"/>
        <v>17.405802863304309</v>
      </c>
      <c r="V11">
        <f t="shared" si="6"/>
        <v>75.13784167090887</v>
      </c>
      <c r="W11">
        <f t="shared" si="30"/>
        <v>37.844527864894353</v>
      </c>
      <c r="X11">
        <f t="shared" si="7"/>
        <v>1350.6891678407969</v>
      </c>
      <c r="Z11" s="40" t="s">
        <v>86</v>
      </c>
      <c r="AA11">
        <v>0.6</v>
      </c>
      <c r="AB11" s="45">
        <f t="shared" si="22"/>
        <v>9.7650000000000006</v>
      </c>
      <c r="AC11">
        <f t="shared" si="23"/>
        <v>8</v>
      </c>
      <c r="AD11">
        <f t="shared" si="8"/>
        <v>26.591738986146954</v>
      </c>
      <c r="AE11">
        <f t="shared" si="31"/>
        <v>37.844527864894353</v>
      </c>
      <c r="AF11">
        <f t="shared" si="24"/>
        <v>478.01710834268704</v>
      </c>
      <c r="AH11" s="41" t="s">
        <v>125</v>
      </c>
      <c r="AI11">
        <v>0.215</v>
      </c>
      <c r="AJ11" s="45">
        <f t="shared" si="25"/>
        <v>7.6818</v>
      </c>
      <c r="AK11">
        <f t="shared" si="26"/>
        <v>8.5130152905121328</v>
      </c>
      <c r="AL11">
        <f t="shared" si="9"/>
        <v>6.4962118678313692</v>
      </c>
      <c r="AM11">
        <f t="shared" si="32"/>
        <v>37.844527864894353</v>
      </c>
      <c r="AN11">
        <f t="shared" si="10"/>
        <v>116.77688374799078</v>
      </c>
      <c r="AP11" s="41" t="s">
        <v>31</v>
      </c>
      <c r="AQ11">
        <v>0.67500000000000004</v>
      </c>
      <c r="AR11" s="45">
        <f t="shared" si="33"/>
        <v>12.502248746854677</v>
      </c>
      <c r="AS11">
        <f t="shared" si="34"/>
        <v>11.429136279865288</v>
      </c>
      <c r="AT11">
        <f t="shared" si="11"/>
        <v>68.447482005353919</v>
      </c>
      <c r="AU11">
        <f t="shared" si="35"/>
        <v>37.844527864894353</v>
      </c>
      <c r="AV11">
        <f t="shared" si="12"/>
        <v>1230.4222540158987</v>
      </c>
      <c r="AX11">
        <f>AX10+Calculations!$C$24</f>
        <v>1.4524253333333328</v>
      </c>
      <c r="AY11">
        <f t="shared" si="13"/>
        <v>5.3304009733333313</v>
      </c>
      <c r="AZ11">
        <f t="shared" si="14"/>
        <v>11.835013276725201</v>
      </c>
      <c r="BA11">
        <f t="shared" si="27"/>
        <v>3.9055543813193165</v>
      </c>
      <c r="BB11">
        <f t="shared" si="15"/>
        <v>15.740567658044517</v>
      </c>
      <c r="BC11">
        <f t="shared" si="16"/>
        <v>21.070968631377848</v>
      </c>
      <c r="BH11">
        <f t="shared" si="17"/>
        <v>227.06716718936613</v>
      </c>
      <c r="BI11" s="30">
        <f t="shared" si="36"/>
        <v>8.4635081244757799</v>
      </c>
      <c r="BJ11" s="30">
        <f t="shared" si="37"/>
        <v>8.4635081244757782</v>
      </c>
    </row>
    <row r="12" spans="1:63" ht="19">
      <c r="A12" s="39">
        <v>8</v>
      </c>
      <c r="B12" s="41" t="s">
        <v>106</v>
      </c>
      <c r="C12">
        <v>0.88100000000000001</v>
      </c>
      <c r="D12" s="45">
        <f t="shared" si="18"/>
        <v>2.9760000000000004</v>
      </c>
      <c r="E12">
        <f t="shared" si="19"/>
        <v>4.5804863350725551</v>
      </c>
      <c r="F12">
        <f t="shared" si="0"/>
        <v>2.2074594662838409</v>
      </c>
      <c r="G12">
        <f t="shared" si="28"/>
        <v>37.655305225569883</v>
      </c>
      <c r="H12">
        <f t="shared" si="1"/>
        <v>39.483215988596015</v>
      </c>
      <c r="J12" s="40" t="s">
        <v>117</v>
      </c>
      <c r="K12">
        <v>0.36</v>
      </c>
      <c r="L12" s="45">
        <f t="shared" si="2"/>
        <v>3.72</v>
      </c>
      <c r="M12">
        <f t="shared" si="20"/>
        <v>5.3289440925668474</v>
      </c>
      <c r="N12">
        <f t="shared" si="3"/>
        <v>1.6514593936198048</v>
      </c>
      <c r="O12">
        <f t="shared" si="29"/>
        <v>37.655305225569883</v>
      </c>
      <c r="P12">
        <f t="shared" si="4"/>
        <v>29.538448578834441</v>
      </c>
      <c r="R12" s="41" t="s">
        <v>111</v>
      </c>
      <c r="S12">
        <v>0.34</v>
      </c>
      <c r="T12" s="45">
        <f t="shared" si="5"/>
        <v>17.111999999999998</v>
      </c>
      <c r="U12">
        <f t="shared" si="21"/>
        <v>18.968952535336339</v>
      </c>
      <c r="V12">
        <f t="shared" si="6"/>
        <v>106.05030033613085</v>
      </c>
      <c r="W12">
        <f t="shared" si="30"/>
        <v>37.655305225569883</v>
      </c>
      <c r="X12">
        <f t="shared" si="7"/>
        <v>1896.8443034996726</v>
      </c>
      <c r="Z12" s="40" t="s">
        <v>86</v>
      </c>
      <c r="AA12">
        <v>0.6</v>
      </c>
      <c r="AB12" s="45">
        <f t="shared" si="22"/>
        <v>11.16</v>
      </c>
      <c r="AC12">
        <f t="shared" si="23"/>
        <v>8</v>
      </c>
      <c r="AD12">
        <f t="shared" si="8"/>
        <v>34.510163730154332</v>
      </c>
      <c r="AE12">
        <f t="shared" si="31"/>
        <v>37.655305225569883</v>
      </c>
      <c r="AF12">
        <f t="shared" si="24"/>
        <v>617.2581056055925</v>
      </c>
      <c r="AH12" s="41" t="s">
        <v>125</v>
      </c>
      <c r="AI12">
        <v>0.215</v>
      </c>
      <c r="AJ12" s="45">
        <f t="shared" si="25"/>
        <v>8.7791999999999994</v>
      </c>
      <c r="AK12">
        <f t="shared" si="26"/>
        <v>9.2438711350036016</v>
      </c>
      <c r="AL12">
        <f t="shared" si="9"/>
        <v>9.1363439097237116</v>
      </c>
      <c r="AM12">
        <f t="shared" si="32"/>
        <v>37.655305225569883</v>
      </c>
      <c r="AN12">
        <f t="shared" si="10"/>
        <v>163.41511381905084</v>
      </c>
      <c r="AP12" s="41" t="s">
        <v>31</v>
      </c>
      <c r="AQ12">
        <v>0.67500000000000004</v>
      </c>
      <c r="AR12" s="45">
        <f t="shared" si="33"/>
        <v>13.787306798171738</v>
      </c>
      <c r="AS12">
        <f t="shared" si="34"/>
        <v>12.102276493370498</v>
      </c>
      <c r="AT12">
        <f t="shared" si="11"/>
        <v>87.61080562375632</v>
      </c>
      <c r="AU12">
        <f t="shared" si="35"/>
        <v>37.655305225569883</v>
      </c>
      <c r="AV12">
        <f t="shared" si="12"/>
        <v>1567.0305227397939</v>
      </c>
      <c r="AX12">
        <f>AX11+Calculations!$C$24</f>
        <v>1.659914666666666</v>
      </c>
      <c r="AY12">
        <f t="shared" si="13"/>
        <v>6.0918868266666637</v>
      </c>
      <c r="AZ12">
        <f t="shared" si="14"/>
        <v>15.830800836549754</v>
      </c>
      <c r="BA12">
        <f t="shared" si="27"/>
        <v>5.2241642760614191</v>
      </c>
      <c r="BB12">
        <f t="shared" si="15"/>
        <v>21.054965112611171</v>
      </c>
      <c r="BC12">
        <f t="shared" si="16"/>
        <v>27.146851939277834</v>
      </c>
      <c r="BE12" s="38" t="s">
        <v>18</v>
      </c>
      <c r="BF12" t="s">
        <v>104</v>
      </c>
      <c r="BH12">
        <f t="shared" si="17"/>
        <v>225.93183135341931</v>
      </c>
      <c r="BI12">
        <f t="shared" si="36"/>
        <v>9.5890844663619585</v>
      </c>
      <c r="BJ12">
        <f t="shared" si="37"/>
        <v>9.5890844663619568</v>
      </c>
    </row>
    <row r="13" spans="1:63">
      <c r="A13" s="39">
        <v>9</v>
      </c>
      <c r="B13" s="41" t="s">
        <v>106</v>
      </c>
      <c r="C13">
        <v>0.88100000000000001</v>
      </c>
      <c r="D13" s="45">
        <f t="shared" si="18"/>
        <v>3.3480000000000003</v>
      </c>
      <c r="E13">
        <f t="shared" si="19"/>
        <v>4.9635136380079485</v>
      </c>
      <c r="F13">
        <f t="shared" si="0"/>
        <v>3.0045748397301977</v>
      </c>
      <c r="G13">
        <f t="shared" si="28"/>
        <v>37.467028699442032</v>
      </c>
      <c r="H13">
        <f t="shared" si="1"/>
        <v>53.471933581151561</v>
      </c>
      <c r="J13" s="40" t="s">
        <v>117</v>
      </c>
      <c r="K13">
        <v>0.36</v>
      </c>
      <c r="L13" s="45">
        <f t="shared" si="2"/>
        <v>4.1850000000000005</v>
      </c>
      <c r="M13">
        <f t="shared" si="20"/>
        <v>5.7642474410442812</v>
      </c>
      <c r="N13">
        <f t="shared" si="3"/>
        <v>2.2438852310583743</v>
      </c>
      <c r="O13">
        <f t="shared" si="29"/>
        <v>37.467028699442032</v>
      </c>
      <c r="P13">
        <f t="shared" si="4"/>
        <v>39.934063366401155</v>
      </c>
      <c r="R13" s="41" t="s">
        <v>111</v>
      </c>
      <c r="S13">
        <v>0.34</v>
      </c>
      <c r="T13" s="45">
        <f t="shared" si="5"/>
        <v>19.251000000000001</v>
      </c>
      <c r="U13">
        <f t="shared" si="21"/>
        <v>20.424292378619654</v>
      </c>
      <c r="V13">
        <f t="shared" si="6"/>
        <v>143.4481024059962</v>
      </c>
      <c r="W13">
        <f t="shared" si="30"/>
        <v>37.467028699442032</v>
      </c>
      <c r="X13">
        <f t="shared" si="7"/>
        <v>2552.9227306198304</v>
      </c>
      <c r="Z13" s="40" t="s">
        <v>86</v>
      </c>
      <c r="AA13">
        <v>0.6</v>
      </c>
      <c r="AB13" s="45">
        <f t="shared" si="22"/>
        <v>12.555000000000001</v>
      </c>
      <c r="AC13">
        <f t="shared" si="23"/>
        <v>8</v>
      </c>
      <c r="AD13">
        <f t="shared" si="8"/>
        <v>43.430691436274564</v>
      </c>
      <c r="AE13">
        <f t="shared" si="31"/>
        <v>37.467028699442032</v>
      </c>
      <c r="AF13">
        <f t="shared" si="24"/>
        <v>772.9290071777674</v>
      </c>
      <c r="AH13" s="41" t="s">
        <v>125</v>
      </c>
      <c r="AI13">
        <v>0.215</v>
      </c>
      <c r="AJ13" s="45">
        <f t="shared" si="25"/>
        <v>9.8765999999999998</v>
      </c>
      <c r="AK13">
        <f t="shared" si="26"/>
        <v>9.9304422442777298</v>
      </c>
      <c r="AL13">
        <f t="shared" si="9"/>
        <v>12.330767727205059</v>
      </c>
      <c r="AM13">
        <f t="shared" si="32"/>
        <v>37.467028699442032</v>
      </c>
      <c r="AN13">
        <f t="shared" si="10"/>
        <v>219.4486834526391</v>
      </c>
      <c r="AP13" s="41" t="s">
        <v>31</v>
      </c>
      <c r="AQ13">
        <v>0.67500000000000004</v>
      </c>
      <c r="AR13" s="45">
        <f t="shared" si="33"/>
        <v>14.920808331435939</v>
      </c>
      <c r="AS13">
        <f t="shared" si="34"/>
        <v>12.668662753203611</v>
      </c>
      <c r="AT13">
        <f t="shared" si="11"/>
        <v>106.88664693160936</v>
      </c>
      <c r="AU13">
        <f t="shared" si="35"/>
        <v>37.467028699442032</v>
      </c>
      <c r="AV13">
        <f t="shared" si="12"/>
        <v>1902.2444073825243</v>
      </c>
      <c r="AX13">
        <f>AX12+Calculations!$C$24</f>
        <v>1.8674039999999992</v>
      </c>
      <c r="AY13">
        <f t="shared" si="13"/>
        <v>6.853372679999997</v>
      </c>
      <c r="AZ13">
        <f t="shared" si="14"/>
        <v>20.335289529879752</v>
      </c>
      <c r="BA13">
        <f t="shared" si="27"/>
        <v>6.7106455448603182</v>
      </c>
      <c r="BB13">
        <f t="shared" si="15"/>
        <v>27.045935074740072</v>
      </c>
      <c r="BC13">
        <f t="shared" si="16"/>
        <v>33.899307754740072</v>
      </c>
      <c r="BE13">
        <f>BE7-BE10</f>
        <v>1462.208146039917</v>
      </c>
      <c r="BF13">
        <f>BE13/BE4</f>
        <v>229.54601978648617</v>
      </c>
      <c r="BH13">
        <f t="shared" si="17"/>
        <v>224.80217219665221</v>
      </c>
      <c r="BI13">
        <f t="shared" si="36"/>
        <v>10.689401388572657</v>
      </c>
      <c r="BJ13">
        <f t="shared" si="37"/>
        <v>10.689401388572655</v>
      </c>
    </row>
    <row r="14" spans="1:63">
      <c r="A14" s="39">
        <v>10</v>
      </c>
      <c r="B14" s="41" t="s">
        <v>106</v>
      </c>
      <c r="C14">
        <v>0.88100000000000001</v>
      </c>
      <c r="D14" s="45">
        <f t="shared" si="18"/>
        <v>3.72</v>
      </c>
      <c r="E14">
        <f t="shared" si="19"/>
        <v>5.3289440925668474</v>
      </c>
      <c r="F14">
        <f t="shared" si="0"/>
        <v>3.9556070796444329</v>
      </c>
      <c r="G14">
        <f t="shared" si="28"/>
        <v>37.279693555944824</v>
      </c>
      <c r="H14">
        <f t="shared" si="1"/>
        <v>70.045314384513389</v>
      </c>
      <c r="J14" s="40" t="s">
        <v>117</v>
      </c>
      <c r="K14">
        <v>0.36</v>
      </c>
      <c r="L14" s="45">
        <f t="shared" si="2"/>
        <v>4.6500000000000004</v>
      </c>
      <c r="M14">
        <f t="shared" si="20"/>
        <v>6.1787446389068963</v>
      </c>
      <c r="N14">
        <f t="shared" si="3"/>
        <v>2.9495319828263273</v>
      </c>
      <c r="O14">
        <f t="shared" si="29"/>
        <v>37.279693555944824</v>
      </c>
      <c r="P14">
        <f t="shared" si="4"/>
        <v>52.229883015281303</v>
      </c>
      <c r="R14" s="41" t="s">
        <v>111</v>
      </c>
      <c r="S14">
        <v>0.34</v>
      </c>
      <c r="T14" s="45">
        <f t="shared" si="5"/>
        <v>21.39</v>
      </c>
      <c r="U14">
        <f t="shared" si="21"/>
        <v>21.784262303192751</v>
      </c>
      <c r="V14">
        <f t="shared" si="6"/>
        <v>187.64516037153859</v>
      </c>
      <c r="W14">
        <f t="shared" si="30"/>
        <v>37.279693555944824</v>
      </c>
      <c r="X14">
        <f t="shared" si="7"/>
        <v>3322.7931860558629</v>
      </c>
      <c r="Z14" s="40" t="s">
        <v>86</v>
      </c>
      <c r="AA14">
        <v>0.6</v>
      </c>
      <c r="AB14" s="45">
        <f t="shared" si="22"/>
        <v>13.950000000000001</v>
      </c>
      <c r="AC14">
        <f t="shared" si="23"/>
        <v>8</v>
      </c>
      <c r="AD14">
        <f t="shared" si="8"/>
        <v>53.347658836908529</v>
      </c>
      <c r="AE14">
        <f t="shared" si="31"/>
        <v>37.279693555944824</v>
      </c>
      <c r="AF14">
        <f t="shared" si="24"/>
        <v>944.67257734934481</v>
      </c>
      <c r="AH14" s="41" t="s">
        <v>125</v>
      </c>
      <c r="AI14">
        <v>0.215</v>
      </c>
      <c r="AJ14" s="45">
        <f t="shared" si="25"/>
        <v>10.974</v>
      </c>
      <c r="AK14">
        <f t="shared" si="26"/>
        <v>10.579240433676681</v>
      </c>
      <c r="AL14">
        <f t="shared" si="9"/>
        <v>16.111462865864613</v>
      </c>
      <c r="AM14">
        <f t="shared" si="32"/>
        <v>37.279693555944824</v>
      </c>
      <c r="AN14">
        <f t="shared" si="10"/>
        <v>285.29943922927322</v>
      </c>
      <c r="AP14" s="41" t="s">
        <v>31</v>
      </c>
      <c r="AQ14">
        <v>0.67500000000000004</v>
      </c>
      <c r="AR14" s="45">
        <f t="shared" si="33"/>
        <v>15.93476000434122</v>
      </c>
      <c r="AS14">
        <f t="shared" si="34"/>
        <v>13.1558721993145</v>
      </c>
      <c r="AT14">
        <f t="shared" si="11"/>
        <v>126.08249358094318</v>
      </c>
      <c r="AU14">
        <f t="shared" si="35"/>
        <v>37.279693555944824</v>
      </c>
      <c r="AV14">
        <f t="shared" si="12"/>
        <v>2232.6504436467972</v>
      </c>
      <c r="AX14">
        <f>AX13+Calculations!$C$24</f>
        <v>2.0748933333333324</v>
      </c>
      <c r="AY14">
        <f t="shared" si="13"/>
        <v>7.6148585333333294</v>
      </c>
      <c r="AZ14">
        <f t="shared" si="14"/>
        <v>25.35122539630953</v>
      </c>
      <c r="BA14">
        <f t="shared" si="27"/>
        <v>8.3659043807821458</v>
      </c>
      <c r="BB14">
        <f t="shared" si="15"/>
        <v>33.717129777091678</v>
      </c>
      <c r="BC14">
        <f t="shared" si="16"/>
        <v>41.331988310425004</v>
      </c>
      <c r="BF14">
        <f>BF13/30</f>
        <v>7.6515339928828725</v>
      </c>
      <c r="BH14">
        <f t="shared" si="17"/>
        <v>223.67816133566893</v>
      </c>
      <c r="BI14" s="30">
        <f t="shared" si="36"/>
        <v>11.769793334056869</v>
      </c>
      <c r="BJ14" s="30">
        <f t="shared" si="37"/>
        <v>11.769793334056871</v>
      </c>
    </row>
    <row r="15" spans="1:63">
      <c r="A15" s="39">
        <v>11</v>
      </c>
      <c r="B15" s="41" t="s">
        <v>106</v>
      </c>
      <c r="C15">
        <v>0.88100000000000001</v>
      </c>
      <c r="D15" s="45">
        <f t="shared" si="18"/>
        <v>4.0920000000000005</v>
      </c>
      <c r="E15">
        <f t="shared" si="19"/>
        <v>5.6789458598553804</v>
      </c>
      <c r="F15">
        <f t="shared" si="0"/>
        <v>5.0696175060479165</v>
      </c>
      <c r="G15">
        <f t="shared" si="28"/>
        <v>37.0932950881651</v>
      </c>
      <c r="H15">
        <f t="shared" si="1"/>
        <v>89.323188614582421</v>
      </c>
      <c r="J15" s="40" t="s">
        <v>117</v>
      </c>
      <c r="K15">
        <v>0.36</v>
      </c>
      <c r="L15" s="45">
        <f t="shared" si="2"/>
        <v>5.1150000000000002</v>
      </c>
      <c r="M15">
        <f t="shared" si="20"/>
        <v>6.5750449819425967</v>
      </c>
      <c r="N15">
        <f t="shared" si="3"/>
        <v>3.7748712986540949</v>
      </c>
      <c r="O15">
        <f t="shared" si="29"/>
        <v>37.0932950881651</v>
      </c>
      <c r="P15">
        <f t="shared" si="4"/>
        <v>66.510647125390136</v>
      </c>
      <c r="R15" s="41" t="s">
        <v>111</v>
      </c>
      <c r="S15">
        <v>0.34</v>
      </c>
      <c r="T15" s="45">
        <f t="shared" si="5"/>
        <v>23.529</v>
      </c>
      <c r="U15">
        <f t="shared" si="21"/>
        <v>23.058962009663002</v>
      </c>
      <c r="V15">
        <f t="shared" si="6"/>
        <v>238.91315302630261</v>
      </c>
      <c r="W15">
        <f t="shared" si="30"/>
        <v>37.0932950881651</v>
      </c>
      <c r="X15">
        <f t="shared" si="7"/>
        <v>4209.4861406830787</v>
      </c>
      <c r="Z15" s="40" t="s">
        <v>86</v>
      </c>
      <c r="AA15">
        <v>0.6</v>
      </c>
      <c r="AB15" s="45">
        <f t="shared" si="22"/>
        <v>15.345000000000001</v>
      </c>
      <c r="AC15">
        <f t="shared" si="23"/>
        <v>8</v>
      </c>
      <c r="AD15">
        <f t="shared" si="8"/>
        <v>64.256029560286038</v>
      </c>
      <c r="AE15">
        <f t="shared" si="31"/>
        <v>37.0932950881651</v>
      </c>
      <c r="AF15">
        <f t="shared" si="24"/>
        <v>1132.1472361949359</v>
      </c>
      <c r="AH15" s="41" t="s">
        <v>125</v>
      </c>
      <c r="AI15">
        <v>0.215</v>
      </c>
      <c r="AJ15" s="45">
        <f t="shared" si="25"/>
        <v>12.071399999999999</v>
      </c>
      <c r="AK15">
        <f t="shared" si="26"/>
        <v>11.19530918137259</v>
      </c>
      <c r="AL15">
        <f t="shared" si="9"/>
        <v>20.508086576122103</v>
      </c>
      <c r="AM15">
        <f t="shared" si="32"/>
        <v>37.0932950881651</v>
      </c>
      <c r="AN15">
        <f t="shared" si="10"/>
        <v>361.33844085432395</v>
      </c>
      <c r="AP15" s="41" t="s">
        <v>31</v>
      </c>
      <c r="AQ15">
        <v>0.67500000000000004</v>
      </c>
      <c r="AR15" s="45">
        <f t="shared" si="33"/>
        <v>16.851990863113315</v>
      </c>
      <c r="AS15">
        <f t="shared" si="34"/>
        <v>13.582195396567352</v>
      </c>
      <c r="AT15">
        <f t="shared" si="11"/>
        <v>145.08329583462321</v>
      </c>
      <c r="AU15">
        <f t="shared" si="35"/>
        <v>37.0932950881651</v>
      </c>
      <c r="AV15">
        <f t="shared" si="12"/>
        <v>2556.2683147596858</v>
      </c>
      <c r="AX15">
        <f>AX14+Calculations!$C$24</f>
        <v>2.2823826666666656</v>
      </c>
      <c r="AY15">
        <f t="shared" si="13"/>
        <v>8.3763443866666627</v>
      </c>
      <c r="AZ15">
        <f t="shared" si="14"/>
        <v>30.883321463411427</v>
      </c>
      <c r="BA15">
        <f t="shared" si="27"/>
        <v>10.191496082925772</v>
      </c>
      <c r="BB15">
        <f t="shared" si="15"/>
        <v>41.074817546337201</v>
      </c>
      <c r="BC15">
        <f t="shared" si="16"/>
        <v>49.45116193300386</v>
      </c>
      <c r="BH15">
        <f t="shared" si="17"/>
        <v>222.55977052899058</v>
      </c>
      <c r="BI15">
        <f t="shared" si="36"/>
        <v>12.83406514385222</v>
      </c>
      <c r="BJ15">
        <f t="shared" si="37"/>
        <v>12.834065143852218</v>
      </c>
    </row>
    <row r="16" spans="1:63">
      <c r="A16" s="39">
        <v>12</v>
      </c>
      <c r="B16" s="41" t="s">
        <v>106</v>
      </c>
      <c r="C16">
        <v>0.88100000000000001</v>
      </c>
      <c r="D16" s="45">
        <f t="shared" si="18"/>
        <v>4.4640000000000013</v>
      </c>
      <c r="E16">
        <f t="shared" si="19"/>
        <v>6.0152621208069359</v>
      </c>
      <c r="F16">
        <f t="shared" si="0"/>
        <v>6.3551471270081539</v>
      </c>
      <c r="G16">
        <f t="shared" si="28"/>
        <v>36.907828612724273</v>
      </c>
      <c r="H16">
        <f t="shared" si="1"/>
        <v>111.4134734618254</v>
      </c>
      <c r="J16" s="40" t="s">
        <v>117</v>
      </c>
      <c r="K16">
        <v>0.36</v>
      </c>
      <c r="L16" s="45">
        <f t="shared" si="2"/>
        <v>5.58</v>
      </c>
      <c r="M16">
        <f t="shared" si="20"/>
        <v>6.9552406681794228</v>
      </c>
      <c r="N16">
        <f t="shared" si="3"/>
        <v>4.7259914504265597</v>
      </c>
      <c r="O16">
        <f t="shared" si="29"/>
        <v>36.907828612724273</v>
      </c>
      <c r="P16">
        <f t="shared" si="4"/>
        <v>82.852389176833242</v>
      </c>
      <c r="R16" s="41" t="s">
        <v>111</v>
      </c>
      <c r="S16">
        <v>0.34</v>
      </c>
      <c r="T16" s="45">
        <f t="shared" si="5"/>
        <v>25.667999999999999</v>
      </c>
      <c r="U16">
        <f t="shared" si="21"/>
        <v>24.256772210620053</v>
      </c>
      <c r="V16">
        <f t="shared" si="6"/>
        <v>297.48751825172172</v>
      </c>
      <c r="W16">
        <f t="shared" si="30"/>
        <v>36.907828612724273</v>
      </c>
      <c r="X16">
        <f t="shared" si="7"/>
        <v>5215.3187105781344</v>
      </c>
      <c r="Z16" s="40" t="s">
        <v>86</v>
      </c>
      <c r="AA16">
        <v>0.6</v>
      </c>
      <c r="AB16" s="45">
        <f t="shared" si="22"/>
        <v>16.740000000000002</v>
      </c>
      <c r="AC16">
        <f t="shared" si="23"/>
        <v>8</v>
      </c>
      <c r="AD16">
        <f t="shared" si="8"/>
        <v>76.151271198627953</v>
      </c>
      <c r="AE16">
        <f t="shared" si="31"/>
        <v>36.907828612724273</v>
      </c>
      <c r="AF16">
        <f t="shared" si="24"/>
        <v>1335.0245813690219</v>
      </c>
      <c r="AH16" s="41" t="s">
        <v>125</v>
      </c>
      <c r="AI16">
        <v>0.215</v>
      </c>
      <c r="AJ16" s="45">
        <f t="shared" si="25"/>
        <v>13.168800000000001</v>
      </c>
      <c r="AK16">
        <f t="shared" si="26"/>
        <v>11.782653058379694</v>
      </c>
      <c r="AL16">
        <f t="shared" si="9"/>
        <v>25.548325641500785</v>
      </c>
      <c r="AM16">
        <f t="shared" si="32"/>
        <v>36.907828612724273</v>
      </c>
      <c r="AN16">
        <f t="shared" si="10"/>
        <v>447.89328145632544</v>
      </c>
      <c r="AP16" s="41" t="s">
        <v>31</v>
      </c>
      <c r="AQ16">
        <v>0.67500000000000004</v>
      </c>
      <c r="AR16" s="45">
        <f t="shared" si="33"/>
        <v>17.689357031165791</v>
      </c>
      <c r="AS16">
        <f t="shared" si="34"/>
        <v>13.96035481220796</v>
      </c>
      <c r="AT16">
        <f t="shared" si="11"/>
        <v>163.82055944635707</v>
      </c>
      <c r="AU16">
        <f t="shared" si="35"/>
        <v>36.907828612724273</v>
      </c>
      <c r="AV16">
        <f t="shared" si="12"/>
        <v>2871.9740373612085</v>
      </c>
      <c r="AX16">
        <f>AX15+Calculations!$C$24</f>
        <v>2.4898719999999988</v>
      </c>
      <c r="AY16">
        <f t="shared" si="13"/>
        <v>9.137830239999996</v>
      </c>
      <c r="AZ16">
        <f t="shared" si="14"/>
        <v>36.936628657390294</v>
      </c>
      <c r="BA16">
        <f t="shared" si="27"/>
        <v>12.189087456938797</v>
      </c>
      <c r="BB16">
        <f t="shared" si="15"/>
        <v>49.125716114329094</v>
      </c>
      <c r="BC16">
        <f t="shared" si="16"/>
        <v>58.263546354329094</v>
      </c>
      <c r="BH16">
        <f t="shared" si="17"/>
        <v>221.44697167634564</v>
      </c>
      <c r="BI16">
        <f t="shared" si="36"/>
        <v>13.885026171860966</v>
      </c>
      <c r="BJ16">
        <f t="shared" si="37"/>
        <v>13.885026171860964</v>
      </c>
    </row>
    <row r="17" spans="1:62">
      <c r="A17" s="39">
        <v>13</v>
      </c>
      <c r="B17" s="41" t="s">
        <v>106</v>
      </c>
      <c r="C17">
        <v>0.88100000000000001</v>
      </c>
      <c r="D17" s="45">
        <f t="shared" si="18"/>
        <v>4.8360000000000003</v>
      </c>
      <c r="E17">
        <f t="shared" si="19"/>
        <v>6.3393213558251986</v>
      </c>
      <c r="F17">
        <f t="shared" si="0"/>
        <v>7.8202841700279597</v>
      </c>
      <c r="G17">
        <f t="shared" si="28"/>
        <v>36.723289469660649</v>
      </c>
      <c r="H17">
        <f t="shared" si="1"/>
        <v>136.41361567269726</v>
      </c>
      <c r="J17" s="40" t="s">
        <v>117</v>
      </c>
      <c r="K17">
        <v>0.36</v>
      </c>
      <c r="L17" s="45">
        <f t="shared" si="2"/>
        <v>6.0449999999999999</v>
      </c>
      <c r="M17">
        <f t="shared" si="20"/>
        <v>7</v>
      </c>
      <c r="N17">
        <f t="shared" si="3"/>
        <v>5.5599076724692917</v>
      </c>
      <c r="O17">
        <f t="shared" si="29"/>
        <v>36.723289469660649</v>
      </c>
      <c r="P17">
        <f t="shared" si="4"/>
        <v>96.984596968321569</v>
      </c>
      <c r="R17" s="41" t="s">
        <v>111</v>
      </c>
      <c r="S17">
        <v>0.34</v>
      </c>
      <c r="T17" s="45">
        <f t="shared" si="5"/>
        <v>27.806999999999999</v>
      </c>
      <c r="U17">
        <f t="shared" si="21"/>
        <v>25.38476965008298</v>
      </c>
      <c r="V17">
        <f t="shared" si="6"/>
        <v>363.57233702389618</v>
      </c>
      <c r="W17">
        <f t="shared" si="30"/>
        <v>36.723289469660649</v>
      </c>
      <c r="X17">
        <f t="shared" si="7"/>
        <v>6341.9967834525405</v>
      </c>
      <c r="Z17" s="40" t="s">
        <v>86</v>
      </c>
      <c r="AA17">
        <v>0.6</v>
      </c>
      <c r="AB17" s="45">
        <f t="shared" si="22"/>
        <v>18.135000000000002</v>
      </c>
      <c r="AC17">
        <f t="shared" si="23"/>
        <v>8</v>
      </c>
      <c r="AD17">
        <f t="shared" si="8"/>
        <v>89.029265180157751</v>
      </c>
      <c r="AE17">
        <f t="shared" si="31"/>
        <v>36.723289469660649</v>
      </c>
      <c r="AF17">
        <f t="shared" si="24"/>
        <v>1552.9875513290033</v>
      </c>
      <c r="AH17" s="41" t="s">
        <v>125</v>
      </c>
      <c r="AI17">
        <v>0.215</v>
      </c>
      <c r="AJ17" s="45">
        <f t="shared" si="25"/>
        <v>14.266200000000001</v>
      </c>
      <c r="AK17">
        <f t="shared" si="26"/>
        <v>12.344517074849783</v>
      </c>
      <c r="AL17">
        <f t="shared" si="9"/>
        <v>31.258169717232644</v>
      </c>
      <c r="AM17">
        <f t="shared" si="32"/>
        <v>36.723289469660649</v>
      </c>
      <c r="AN17">
        <f t="shared" si="10"/>
        <v>545.25383703841453</v>
      </c>
      <c r="AP17" s="41" t="s">
        <v>31</v>
      </c>
      <c r="AQ17">
        <v>0.67500000000000004</v>
      </c>
      <c r="AR17" s="45">
        <f t="shared" si="33"/>
        <v>18.459659234441144</v>
      </c>
      <c r="AS17">
        <f t="shared" si="34"/>
        <v>14.299538088674256</v>
      </c>
      <c r="AT17">
        <f t="shared" si="11"/>
        <v>182.25457962307632</v>
      </c>
      <c r="AU17">
        <f t="shared" si="35"/>
        <v>36.723289469660649</v>
      </c>
      <c r="AV17">
        <f t="shared" si="12"/>
        <v>3179.1691502180347</v>
      </c>
      <c r="AX17">
        <f>AX16+Calculations!$C$24</f>
        <v>2.6973613333333319</v>
      </c>
      <c r="AY17">
        <f t="shared" si="13"/>
        <v>9.8993160933333275</v>
      </c>
      <c r="AZ17">
        <f t="shared" si="14"/>
        <v>43.499796312271975</v>
      </c>
      <c r="BA17">
        <f t="shared" si="27"/>
        <v>14.354932783049753</v>
      </c>
      <c r="BB17">
        <f t="shared" si="15"/>
        <v>57.85472909532173</v>
      </c>
      <c r="BC17">
        <f t="shared" si="16"/>
        <v>67.754045188655056</v>
      </c>
      <c r="BH17">
        <f t="shared" si="17"/>
        <v>220.33973681796388</v>
      </c>
      <c r="BI17">
        <f t="shared" si="36"/>
        <v>14.924809872406859</v>
      </c>
      <c r="BJ17">
        <f t="shared" si="37"/>
        <v>14.924809872406859</v>
      </c>
    </row>
    <row r="18" spans="1:62">
      <c r="A18" s="39">
        <v>14</v>
      </c>
      <c r="B18" s="41" t="s">
        <v>106</v>
      </c>
      <c r="C18">
        <v>0.88100000000000001</v>
      </c>
      <c r="D18" s="45">
        <f t="shared" si="18"/>
        <v>5.2080000000000011</v>
      </c>
      <c r="E18">
        <f t="shared" si="19"/>
        <v>6.6523129477924181</v>
      </c>
      <c r="F18">
        <f t="shared" si="0"/>
        <v>9.472718306831073</v>
      </c>
      <c r="G18">
        <f t="shared" si="28"/>
        <v>36.539673022312343</v>
      </c>
      <c r="H18">
        <f t="shared" si="1"/>
        <v>164.41176404293782</v>
      </c>
      <c r="J18" s="40" t="s">
        <v>117</v>
      </c>
      <c r="K18">
        <v>0.36</v>
      </c>
      <c r="L18" s="45">
        <f t="shared" si="2"/>
        <v>6.5100000000000007</v>
      </c>
      <c r="M18">
        <f t="shared" si="20"/>
        <v>7</v>
      </c>
      <c r="N18">
        <f t="shared" si="3"/>
        <v>6.4252803501741687</v>
      </c>
      <c r="O18">
        <f t="shared" si="29"/>
        <v>36.539673022312343</v>
      </c>
      <c r="P18">
        <f t="shared" si="4"/>
        <v>111.51938045922502</v>
      </c>
      <c r="R18" s="41" t="s">
        <v>111</v>
      </c>
      <c r="S18">
        <v>0.34</v>
      </c>
      <c r="T18" s="45">
        <f t="shared" si="5"/>
        <v>29.945999999999998</v>
      </c>
      <c r="U18">
        <f t="shared" si="21"/>
        <v>26.449015687252821</v>
      </c>
      <c r="V18">
        <f t="shared" si="6"/>
        <v>437.34438015125659</v>
      </c>
      <c r="W18">
        <f t="shared" si="30"/>
        <v>36.539673022312343</v>
      </c>
      <c r="X18">
        <f t="shared" si="7"/>
        <v>7590.6998082145719</v>
      </c>
      <c r="Z18" s="40" t="s">
        <v>86</v>
      </c>
      <c r="AA18">
        <v>0.6</v>
      </c>
      <c r="AB18" s="45">
        <f t="shared" si="22"/>
        <v>19.53</v>
      </c>
      <c r="AC18">
        <f t="shared" si="23"/>
        <v>8</v>
      </c>
      <c r="AD18">
        <f t="shared" si="8"/>
        <v>102.88623873828766</v>
      </c>
      <c r="AE18">
        <f t="shared" si="31"/>
        <v>36.539673022312343</v>
      </c>
      <c r="AF18">
        <f t="shared" si="24"/>
        <v>1785.7290229464834</v>
      </c>
      <c r="AH18" s="41" t="s">
        <v>125</v>
      </c>
      <c r="AI18">
        <v>0.215</v>
      </c>
      <c r="AJ18" s="45">
        <f t="shared" si="25"/>
        <v>15.3636</v>
      </c>
      <c r="AK18">
        <f t="shared" si="26"/>
        <v>12.883575736478459</v>
      </c>
      <c r="AL18">
        <f t="shared" si="9"/>
        <v>37.662128554903546</v>
      </c>
      <c r="AM18">
        <f t="shared" si="32"/>
        <v>36.539673022312343</v>
      </c>
      <c r="AN18">
        <f t="shared" si="10"/>
        <v>653.67688479222249</v>
      </c>
      <c r="AP18" s="41" t="s">
        <v>31</v>
      </c>
      <c r="AQ18">
        <v>0.67500000000000004</v>
      </c>
      <c r="AR18" s="45">
        <f t="shared" si="33"/>
        <v>19.172847679578592</v>
      </c>
      <c r="AS18">
        <f t="shared" si="34"/>
        <v>14.60658479924488</v>
      </c>
      <c r="AT18">
        <f t="shared" si="11"/>
        <v>200.36384099779482</v>
      </c>
      <c r="AU18">
        <f t="shared" si="35"/>
        <v>36.539673022312343</v>
      </c>
      <c r="AV18">
        <f t="shared" si="12"/>
        <v>3477.5838868881515</v>
      </c>
      <c r="AX18">
        <f>AX17+Calculations!$C$24</f>
        <v>2.9048506666666651</v>
      </c>
      <c r="AY18">
        <f t="shared" si="13"/>
        <v>10.660801946666661</v>
      </c>
      <c r="AZ18">
        <f t="shared" si="14"/>
        <v>50.585888142750974</v>
      </c>
      <c r="BA18">
        <f t="shared" si="27"/>
        <v>16.693343087107824</v>
      </c>
      <c r="BB18">
        <f t="shared" si="15"/>
        <v>67.279231229858794</v>
      </c>
      <c r="BC18">
        <f t="shared" si="16"/>
        <v>77.940033176525461</v>
      </c>
      <c r="BH18">
        <f t="shared" si="17"/>
        <v>219.23803813387406</v>
      </c>
      <c r="BI18">
        <f t="shared" si="36"/>
        <v>15.955074613263101</v>
      </c>
      <c r="BJ18">
        <f t="shared" si="37"/>
        <v>15.955074613263099</v>
      </c>
    </row>
    <row r="19" spans="1:62">
      <c r="A19" s="39">
        <v>15</v>
      </c>
      <c r="B19" s="41" t="s">
        <v>106</v>
      </c>
      <c r="C19">
        <v>0.88100000000000001</v>
      </c>
      <c r="D19" s="45">
        <f t="shared" si="18"/>
        <v>5.58</v>
      </c>
      <c r="E19">
        <f t="shared" si="19"/>
        <v>6.9552406681794228</v>
      </c>
      <c r="F19">
        <f t="shared" si="0"/>
        <v>11.319784980405091</v>
      </c>
      <c r="G19">
        <f t="shared" si="28"/>
        <v>36.35697465720078</v>
      </c>
      <c r="H19">
        <f t="shared" si="1"/>
        <v>195.48773943733619</v>
      </c>
      <c r="J19" s="40" t="s">
        <v>117</v>
      </c>
      <c r="K19">
        <v>0.36</v>
      </c>
      <c r="L19" s="45">
        <f t="shared" si="2"/>
        <v>6.9750000000000005</v>
      </c>
      <c r="M19">
        <f t="shared" si="20"/>
        <v>7</v>
      </c>
      <c r="N19">
        <f t="shared" si="3"/>
        <v>7.3515733330827002</v>
      </c>
      <c r="O19">
        <f t="shared" si="29"/>
        <v>36.35697465720078</v>
      </c>
      <c r="P19">
        <f t="shared" si="4"/>
        <v>126.95845854668437</v>
      </c>
      <c r="R19" s="41" t="s">
        <v>111</v>
      </c>
      <c r="S19">
        <v>0.34</v>
      </c>
      <c r="T19" s="45">
        <f t="shared" si="5"/>
        <v>32.085000000000001</v>
      </c>
      <c r="U19">
        <f t="shared" si="21"/>
        <v>27.454763680090526</v>
      </c>
      <c r="V19">
        <f t="shared" si="6"/>
        <v>518.95650631786361</v>
      </c>
      <c r="W19">
        <f t="shared" si="30"/>
        <v>36.35697465720078</v>
      </c>
      <c r="X19">
        <f t="shared" si="7"/>
        <v>8962.1520604843117</v>
      </c>
      <c r="Z19" s="40" t="s">
        <v>86</v>
      </c>
      <c r="AA19">
        <v>0.6</v>
      </c>
      <c r="AB19" s="45">
        <f t="shared" si="22"/>
        <v>20.925000000000001</v>
      </c>
      <c r="AC19">
        <f t="shared" si="23"/>
        <v>8</v>
      </c>
      <c r="AD19">
        <f t="shared" si="8"/>
        <v>117.71871230942823</v>
      </c>
      <c r="AE19">
        <f t="shared" si="31"/>
        <v>36.35697465720078</v>
      </c>
      <c r="AF19">
        <f t="shared" si="24"/>
        <v>2032.950714053291</v>
      </c>
      <c r="AH19" s="41" t="s">
        <v>125</v>
      </c>
      <c r="AI19">
        <v>0.215</v>
      </c>
      <c r="AJ19" s="45">
        <f t="shared" si="25"/>
        <v>16.460999999999999</v>
      </c>
      <c r="AK19">
        <f t="shared" si="26"/>
        <v>13.402065253495985</v>
      </c>
      <c r="AL19">
        <f t="shared" si="9"/>
        <v>44.783407911984717</v>
      </c>
      <c r="AM19">
        <f t="shared" si="32"/>
        <v>36.35697465720078</v>
      </c>
      <c r="AN19">
        <f t="shared" si="10"/>
        <v>773.38988259657879</v>
      </c>
      <c r="AP19" s="41" t="s">
        <v>31</v>
      </c>
      <c r="AQ19">
        <v>0.67500000000000004</v>
      </c>
      <c r="AR19" s="45">
        <f t="shared" si="33"/>
        <v>19.836810237335275</v>
      </c>
      <c r="AS19">
        <f t="shared" si="34"/>
        <v>14.886716120856725</v>
      </c>
      <c r="AT19">
        <f t="shared" si="11"/>
        <v>218.13849317001043</v>
      </c>
      <c r="AU19">
        <f t="shared" si="35"/>
        <v>36.35697465720078</v>
      </c>
      <c r="AV19">
        <f t="shared" si="12"/>
        <v>3767.1564422724664</v>
      </c>
      <c r="AX19">
        <f>AX18+Calculations!$C$24</f>
        <v>3.1123399999999983</v>
      </c>
      <c r="AY19">
        <f t="shared" si="13"/>
        <v>11.422287799999994</v>
      </c>
      <c r="AZ19">
        <f t="shared" si="14"/>
        <v>58.199209741423751</v>
      </c>
      <c r="BA19">
        <f t="shared" si="27"/>
        <v>19.205739214669837</v>
      </c>
      <c r="BB19">
        <f t="shared" si="15"/>
        <v>77.404948956093591</v>
      </c>
      <c r="BC19">
        <f t="shared" si="16"/>
        <v>88.827236756093583</v>
      </c>
      <c r="BH19">
        <f t="shared" si="17"/>
        <v>218.14184794320471</v>
      </c>
      <c r="BI19" s="30">
        <f t="shared" si="36"/>
        <v>16.977135039555879</v>
      </c>
      <c r="BJ19" s="30">
        <f t="shared" si="37"/>
        <v>16.977135039555876</v>
      </c>
    </row>
    <row r="20" spans="1:62">
      <c r="A20" s="39">
        <v>16</v>
      </c>
      <c r="B20" s="41" t="s">
        <v>106</v>
      </c>
      <c r="C20">
        <v>0.88100000000000001</v>
      </c>
      <c r="D20" s="45">
        <f t="shared" si="18"/>
        <v>5.9520000000000008</v>
      </c>
      <c r="E20">
        <f t="shared" si="19"/>
        <v>7.2489615322552217</v>
      </c>
      <c r="F20">
        <f t="shared" si="0"/>
        <v>13.368502193583335</v>
      </c>
      <c r="G20">
        <f t="shared" si="28"/>
        <v>36.175189783914774</v>
      </c>
      <c r="H20">
        <f t="shared" si="1"/>
        <v>229.71384939029008</v>
      </c>
      <c r="J20" s="40" t="s">
        <v>117</v>
      </c>
      <c r="K20">
        <v>0.36</v>
      </c>
      <c r="L20" s="45">
        <f t="shared" si="2"/>
        <v>7.44</v>
      </c>
      <c r="M20">
        <f t="shared" si="20"/>
        <v>7</v>
      </c>
      <c r="N20">
        <f t="shared" si="3"/>
        <v>8.3385850399693204</v>
      </c>
      <c r="O20">
        <f t="shared" si="29"/>
        <v>36.175189783914774</v>
      </c>
      <c r="P20">
        <f t="shared" si="4"/>
        <v>143.28370076634627</v>
      </c>
      <c r="R20" s="41" t="s">
        <v>111</v>
      </c>
      <c r="S20">
        <v>0.34</v>
      </c>
      <c r="T20" s="45">
        <f t="shared" si="5"/>
        <v>34.223999999999997</v>
      </c>
      <c r="U20">
        <f t="shared" si="21"/>
        <v>28.406612181678351</v>
      </c>
      <c r="V20">
        <f t="shared" si="6"/>
        <v>608.54054685194808</v>
      </c>
      <c r="W20">
        <f t="shared" si="30"/>
        <v>36.175189783914774</v>
      </c>
      <c r="X20">
        <f t="shared" si="7"/>
        <v>10456.683142448837</v>
      </c>
      <c r="Z20" s="40" t="s">
        <v>86</v>
      </c>
      <c r="AA20">
        <v>0.6</v>
      </c>
      <c r="AB20" s="45">
        <f t="shared" si="22"/>
        <v>22.32</v>
      </c>
      <c r="AC20">
        <f t="shared" si="23"/>
        <v>8</v>
      </c>
      <c r="AD20">
        <f t="shared" si="8"/>
        <v>133.52345802911802</v>
      </c>
      <c r="AE20">
        <f t="shared" si="31"/>
        <v>36.175189783914774</v>
      </c>
      <c r="AF20">
        <f t="shared" si="24"/>
        <v>2294.3623065337638</v>
      </c>
      <c r="AH20" s="41" t="s">
        <v>125</v>
      </c>
      <c r="AI20">
        <v>0.215</v>
      </c>
      <c r="AJ20" s="45">
        <f t="shared" si="25"/>
        <v>17.558399999999999</v>
      </c>
      <c r="AK20">
        <f t="shared" si="26"/>
        <v>13.901878578791214</v>
      </c>
      <c r="AL20">
        <f t="shared" si="9"/>
        <v>52.644054286198468</v>
      </c>
      <c r="AM20">
        <f t="shared" si="32"/>
        <v>36.175189783914774</v>
      </c>
      <c r="AN20">
        <f t="shared" si="10"/>
        <v>904.5941110290222</v>
      </c>
      <c r="AP20" s="41" t="s">
        <v>31</v>
      </c>
      <c r="AQ20">
        <v>0.67500000000000004</v>
      </c>
      <c r="AR20" s="45">
        <f t="shared" si="33"/>
        <v>20.45790573089565</v>
      </c>
      <c r="AS20">
        <f t="shared" si="34"/>
        <v>15</v>
      </c>
      <c r="AT20">
        <f t="shared" si="11"/>
        <v>233.38966743936277</v>
      </c>
      <c r="AU20">
        <f t="shared" si="35"/>
        <v>36.175189783914774</v>
      </c>
      <c r="AV20">
        <f t="shared" si="12"/>
        <v>4010.3848687812588</v>
      </c>
      <c r="AX20">
        <f>AX19+Calculations!$C$24</f>
        <v>3.3198293333333315</v>
      </c>
      <c r="AY20">
        <f t="shared" si="13"/>
        <v>12.183773653333326</v>
      </c>
      <c r="AZ20">
        <f t="shared" si="14"/>
        <v>66.203210662744723</v>
      </c>
      <c r="BA20">
        <f t="shared" si="27"/>
        <v>21.847059518705759</v>
      </c>
      <c r="BB20">
        <f t="shared" si="15"/>
        <v>88.050270181450486</v>
      </c>
      <c r="BC20">
        <f t="shared" si="16"/>
        <v>100.23404383478382</v>
      </c>
      <c r="BH20">
        <f t="shared" si="17"/>
        <v>217.05113870348868</v>
      </c>
      <c r="BI20">
        <f t="shared" si="36"/>
        <v>17.992050955149278</v>
      </c>
      <c r="BJ20">
        <f t="shared" si="37"/>
        <v>17.992050955149271</v>
      </c>
    </row>
    <row r="21" spans="1:62">
      <c r="A21" s="39">
        <v>17</v>
      </c>
      <c r="B21" s="41" t="s">
        <v>106</v>
      </c>
      <c r="C21">
        <v>0.88100000000000001</v>
      </c>
      <c r="D21" s="45">
        <f t="shared" si="18"/>
        <v>6.3240000000000007</v>
      </c>
      <c r="E21">
        <f t="shared" si="19"/>
        <v>7.5342146719757022</v>
      </c>
      <c r="F21">
        <f t="shared" si="0"/>
        <v>15.625601439674639</v>
      </c>
      <c r="G21">
        <f t="shared" si="28"/>
        <v>35.994313834995204</v>
      </c>
      <c r="H21">
        <f t="shared" si="1"/>
        <v>267.15558098809589</v>
      </c>
      <c r="J21" s="40" t="s">
        <v>117</v>
      </c>
      <c r="K21">
        <v>0.36</v>
      </c>
      <c r="L21" s="45">
        <f t="shared" si="2"/>
        <v>7.9050000000000002</v>
      </c>
      <c r="M21">
        <f t="shared" si="20"/>
        <v>7</v>
      </c>
      <c r="N21">
        <f t="shared" si="3"/>
        <v>9.3861275276431524</v>
      </c>
      <c r="O21">
        <f t="shared" si="29"/>
        <v>35.994313834995204</v>
      </c>
      <c r="P21">
        <f t="shared" si="4"/>
        <v>160.47742946450572</v>
      </c>
      <c r="R21" s="41" t="s">
        <v>111</v>
      </c>
      <c r="S21">
        <v>0.34</v>
      </c>
      <c r="T21" s="45">
        <f t="shared" si="5"/>
        <v>36.363</v>
      </c>
      <c r="U21">
        <f t="shared" si="21"/>
        <v>29.308620788856356</v>
      </c>
      <c r="V21">
        <f t="shared" si="6"/>
        <v>706.20977720101848</v>
      </c>
      <c r="W21">
        <f t="shared" si="30"/>
        <v>35.994313834995204</v>
      </c>
      <c r="X21">
        <f t="shared" si="7"/>
        <v>12074.279768109862</v>
      </c>
      <c r="Z21" s="40" t="s">
        <v>86</v>
      </c>
      <c r="AA21">
        <v>0.6</v>
      </c>
      <c r="AB21" s="45">
        <f t="shared" si="22"/>
        <v>23.715</v>
      </c>
      <c r="AC21">
        <f t="shared" si="23"/>
        <v>8</v>
      </c>
      <c r="AD21">
        <f t="shared" si="8"/>
        <v>150.29746641497596</v>
      </c>
      <c r="AE21">
        <f t="shared" si="31"/>
        <v>35.994313834995204</v>
      </c>
      <c r="AF21">
        <f t="shared" si="24"/>
        <v>2569.6807330040156</v>
      </c>
      <c r="AH21" s="41" t="s">
        <v>125</v>
      </c>
      <c r="AI21">
        <v>0.215</v>
      </c>
      <c r="AJ21" s="45">
        <f t="shared" si="25"/>
        <v>18.655799999999999</v>
      </c>
      <c r="AK21">
        <f t="shared" si="26"/>
        <v>14.384635352142718</v>
      </c>
      <c r="AL21">
        <f t="shared" si="9"/>
        <v>61.265075631338171</v>
      </c>
      <c r="AM21">
        <f t="shared" si="32"/>
        <v>35.994313834995204</v>
      </c>
      <c r="AN21">
        <f t="shared" si="10"/>
        <v>1047.467320714574</v>
      </c>
      <c r="AP21" s="41" t="s">
        <v>31</v>
      </c>
      <c r="AQ21">
        <v>0.67500000000000004</v>
      </c>
      <c r="AR21" s="45">
        <f t="shared" si="33"/>
        <v>21.041335266393169</v>
      </c>
      <c r="AS21">
        <f t="shared" si="34"/>
        <v>15</v>
      </c>
      <c r="AT21">
        <f t="shared" si="11"/>
        <v>246.55833567535828</v>
      </c>
      <c r="AU21">
        <f t="shared" si="35"/>
        <v>35.994313834995204</v>
      </c>
      <c r="AV21">
        <f t="shared" si="12"/>
        <v>4215.4816036431457</v>
      </c>
      <c r="AX21">
        <f>AX20+Calculations!$C$24</f>
        <v>3.5273186666666647</v>
      </c>
      <c r="AY21">
        <f t="shared" si="13"/>
        <v>12.945259506666659</v>
      </c>
      <c r="AZ21">
        <f t="shared" si="14"/>
        <v>74.627770739841807</v>
      </c>
      <c r="BA21">
        <f t="shared" si="27"/>
        <v>24.627164344147797</v>
      </c>
      <c r="BB21">
        <f t="shared" si="15"/>
        <v>99.254935083989608</v>
      </c>
      <c r="BC21">
        <f t="shared" si="16"/>
        <v>112.20019459065627</v>
      </c>
      <c r="BH21">
        <f t="shared" si="17"/>
        <v>215.96588300997124</v>
      </c>
      <c r="BI21">
        <f t="shared" si="36"/>
        <v>19.000689211065531</v>
      </c>
      <c r="BJ21">
        <f t="shared" si="37"/>
        <v>19.000689211065527</v>
      </c>
    </row>
    <row r="22" spans="1:62">
      <c r="A22" s="39">
        <v>18</v>
      </c>
      <c r="B22" s="41" t="s">
        <v>106</v>
      </c>
      <c r="C22">
        <v>0.88100000000000001</v>
      </c>
      <c r="D22" s="45">
        <f t="shared" si="18"/>
        <v>6.6960000000000006</v>
      </c>
      <c r="E22">
        <f t="shared" si="19"/>
        <v>7.8116432153777851</v>
      </c>
      <c r="F22">
        <f t="shared" si="0"/>
        <v>18.097554001825131</v>
      </c>
      <c r="G22">
        <f t="shared" si="28"/>
        <v>35.81434226582023</v>
      </c>
      <c r="H22">
        <f t="shared" si="1"/>
        <v>307.87219676787663</v>
      </c>
      <c r="J22" s="40" t="s">
        <v>117</v>
      </c>
      <c r="K22">
        <v>0.36</v>
      </c>
      <c r="L22" s="45">
        <f t="shared" si="2"/>
        <v>8.370000000000001</v>
      </c>
      <c r="M22">
        <f t="shared" si="20"/>
        <v>7</v>
      </c>
      <c r="N22">
        <f t="shared" si="3"/>
        <v>10.494024795645997</v>
      </c>
      <c r="O22">
        <f t="shared" si="29"/>
        <v>35.81434226582023</v>
      </c>
      <c r="P22">
        <f t="shared" si="4"/>
        <v>178.52238299420318</v>
      </c>
      <c r="R22" s="41" t="s">
        <v>111</v>
      </c>
      <c r="S22">
        <v>0.34</v>
      </c>
      <c r="T22" s="45">
        <f t="shared" si="5"/>
        <v>38.502000000000002</v>
      </c>
      <c r="U22">
        <f t="shared" si="21"/>
        <v>30</v>
      </c>
      <c r="V22">
        <f t="shared" si="6"/>
        <v>807.74115917312599</v>
      </c>
      <c r="W22">
        <f t="shared" si="30"/>
        <v>35.81434226582023</v>
      </c>
      <c r="X22">
        <f t="shared" si="7"/>
        <v>13741.141209987938</v>
      </c>
      <c r="Z22" s="40" t="s">
        <v>86</v>
      </c>
      <c r="AA22">
        <v>0.6</v>
      </c>
      <c r="AB22" s="45">
        <f t="shared" si="22"/>
        <v>25.110000000000003</v>
      </c>
      <c r="AC22">
        <f t="shared" si="23"/>
        <v>8</v>
      </c>
      <c r="AD22">
        <f t="shared" si="8"/>
        <v>168.03791922029961</v>
      </c>
      <c r="AE22">
        <f t="shared" si="31"/>
        <v>35.81434226582023</v>
      </c>
      <c r="AF22">
        <f t="shared" si="24"/>
        <v>2858.6295874812295</v>
      </c>
      <c r="AH22" s="41" t="s">
        <v>125</v>
      </c>
      <c r="AI22">
        <v>0.215</v>
      </c>
      <c r="AJ22" s="45">
        <f t="shared" si="25"/>
        <v>19.7532</v>
      </c>
      <c r="AK22">
        <f t="shared" si="26"/>
        <v>14.851734433620361</v>
      </c>
      <c r="AL22">
        <f t="shared" si="9"/>
        <v>70.666543234478269</v>
      </c>
      <c r="AM22">
        <f t="shared" si="32"/>
        <v>35.81434226582023</v>
      </c>
      <c r="AN22">
        <f t="shared" si="10"/>
        <v>1202.1659889174441</v>
      </c>
      <c r="AP22" s="41" t="s">
        <v>31</v>
      </c>
      <c r="AQ22">
        <v>0.67500000000000004</v>
      </c>
      <c r="AR22" s="45">
        <f t="shared" si="33"/>
        <v>21.591407264159848</v>
      </c>
      <c r="AS22">
        <f t="shared" si="34"/>
        <v>15</v>
      </c>
      <c r="AT22">
        <f t="shared" si="11"/>
        <v>259.29672310718399</v>
      </c>
      <c r="AU22">
        <f t="shared" si="35"/>
        <v>35.81434226582023</v>
      </c>
      <c r="AV22">
        <f t="shared" si="12"/>
        <v>4411.1072551389943</v>
      </c>
      <c r="AX22">
        <f>AX21+Calculations!$C$24</f>
        <v>3.7348079999999979</v>
      </c>
      <c r="AY22">
        <f t="shared" si="13"/>
        <v>13.706745359999992</v>
      </c>
      <c r="AZ22">
        <f t="shared" si="14"/>
        <v>83.306939740125813</v>
      </c>
      <c r="BA22">
        <f t="shared" si="27"/>
        <v>27.491290114241519</v>
      </c>
      <c r="BB22">
        <f t="shared" si="15"/>
        <v>110.79822985436734</v>
      </c>
      <c r="BC22">
        <f t="shared" si="16"/>
        <v>124.50497521436733</v>
      </c>
      <c r="BH22">
        <f t="shared" si="17"/>
        <v>214.88605359492141</v>
      </c>
      <c r="BI22">
        <f t="shared" si="36"/>
        <v>20.003767877359977</v>
      </c>
      <c r="BJ22">
        <f t="shared" si="37"/>
        <v>20.003767877359969</v>
      </c>
    </row>
    <row r="23" spans="1:62">
      <c r="A23" s="39">
        <v>19</v>
      </c>
      <c r="B23" s="41" t="s">
        <v>106</v>
      </c>
      <c r="C23">
        <v>0.88100000000000001</v>
      </c>
      <c r="D23" s="45">
        <f t="shared" si="18"/>
        <v>7.0680000000000005</v>
      </c>
      <c r="E23">
        <f t="shared" si="19"/>
        <v>8.0818111525406628</v>
      </c>
      <c r="F23">
        <f t="shared" si="0"/>
        <v>20.790593535622783</v>
      </c>
      <c r="G23">
        <f t="shared" si="28"/>
        <v>35.635270554491129</v>
      </c>
      <c r="H23">
        <f t="shared" si="1"/>
        <v>351.91725217442672</v>
      </c>
      <c r="J23" s="40" t="s">
        <v>117</v>
      </c>
      <c r="K23">
        <v>0.36</v>
      </c>
      <c r="L23" s="45">
        <f t="shared" si="2"/>
        <v>8.8350000000000009</v>
      </c>
      <c r="M23">
        <f t="shared" si="20"/>
        <v>7</v>
      </c>
      <c r="N23">
        <f t="shared" si="3"/>
        <v>11.662111386878614</v>
      </c>
      <c r="O23">
        <f t="shared" si="29"/>
        <v>35.635270554491129</v>
      </c>
      <c r="P23">
        <f t="shared" si="4"/>
        <v>197.4016848913148</v>
      </c>
      <c r="R23" s="41" t="s">
        <v>111</v>
      </c>
      <c r="S23">
        <v>0.34</v>
      </c>
      <c r="T23" s="45">
        <f t="shared" si="5"/>
        <v>40.640999999999998</v>
      </c>
      <c r="U23">
        <f t="shared" si="21"/>
        <v>30</v>
      </c>
      <c r="V23">
        <f t="shared" si="6"/>
        <v>897.65057291953497</v>
      </c>
      <c r="W23">
        <f t="shared" si="30"/>
        <v>35.635270554491129</v>
      </c>
      <c r="X23">
        <f t="shared" si="7"/>
        <v>15194.309988956256</v>
      </c>
      <c r="Z23" s="40" t="s">
        <v>86</v>
      </c>
      <c r="AA23">
        <v>0.6</v>
      </c>
      <c r="AB23" s="45">
        <f t="shared" si="22"/>
        <v>26.505000000000003</v>
      </c>
      <c r="AC23">
        <f t="shared" si="23"/>
        <v>8</v>
      </c>
      <c r="AD23">
        <f t="shared" si="8"/>
        <v>186.74216702627965</v>
      </c>
      <c r="AE23">
        <f t="shared" si="31"/>
        <v>35.635270554491129</v>
      </c>
      <c r="AF23">
        <f t="shared" si="24"/>
        <v>3160.9386318088873</v>
      </c>
      <c r="AH23" s="41" t="s">
        <v>125</v>
      </c>
      <c r="AI23">
        <v>0.215</v>
      </c>
      <c r="AJ23" s="45">
        <f t="shared" si="25"/>
        <v>20.8506</v>
      </c>
      <c r="AK23">
        <f t="shared" si="26"/>
        <v>15.304394066852215</v>
      </c>
      <c r="AL23">
        <f t="shared" si="9"/>
        <v>80.867678586095607</v>
      </c>
      <c r="AM23">
        <f t="shared" si="32"/>
        <v>35.635270554491129</v>
      </c>
      <c r="AN23">
        <f t="shared" si="10"/>
        <v>1368.827262626344</v>
      </c>
      <c r="AP23" s="41" t="s">
        <v>31</v>
      </c>
      <c r="AQ23">
        <v>0.67500000000000004</v>
      </c>
      <c r="AR23" s="45">
        <f t="shared" si="33"/>
        <v>22.111730737465329</v>
      </c>
      <c r="AS23">
        <f t="shared" si="34"/>
        <v>15</v>
      </c>
      <c r="AT23">
        <f t="shared" si="11"/>
        <v>271.634043360193</v>
      </c>
      <c r="AU23">
        <f t="shared" si="35"/>
        <v>35.635270554491129</v>
      </c>
      <c r="AV23">
        <f t="shared" si="12"/>
        <v>4597.8824978016546</v>
      </c>
      <c r="AX23">
        <f>AX22+Calculations!$C$24</f>
        <v>3.9422973333333311</v>
      </c>
      <c r="AY23">
        <f t="shared" si="13"/>
        <v>14.468231213333326</v>
      </c>
      <c r="AZ23">
        <f t="shared" si="14"/>
        <v>91.277587758010114</v>
      </c>
      <c r="BA23">
        <f t="shared" si="27"/>
        <v>30.121603960143339</v>
      </c>
      <c r="BB23">
        <f t="shared" si="15"/>
        <v>121.39919171815345</v>
      </c>
      <c r="BC23">
        <f t="shared" si="16"/>
        <v>135.86742293148677</v>
      </c>
      <c r="BH23">
        <f t="shared" si="17"/>
        <v>213.81162332694674</v>
      </c>
      <c r="BI23">
        <f t="shared" si="36"/>
        <v>21.00188845624422</v>
      </c>
      <c r="BJ23">
        <f t="shared" si="37"/>
        <v>21.001888456244224</v>
      </c>
    </row>
    <row r="24" spans="1:62">
      <c r="A24" s="39">
        <v>20</v>
      </c>
      <c r="B24" s="41" t="s">
        <v>106</v>
      </c>
      <c r="C24">
        <v>0.88100000000000001</v>
      </c>
      <c r="D24" s="45">
        <f t="shared" si="18"/>
        <v>7.44</v>
      </c>
      <c r="E24">
        <f t="shared" si="19"/>
        <v>8.3452165344823772</v>
      </c>
      <c r="F24">
        <f t="shared" si="0"/>
        <v>23.710735629378988</v>
      </c>
      <c r="G24">
        <f t="shared" si="28"/>
        <v>35.457094201718675</v>
      </c>
      <c r="H24">
        <f t="shared" si="1"/>
        <v>399.33904873139556</v>
      </c>
      <c r="J24" s="40" t="s">
        <v>117</v>
      </c>
      <c r="K24">
        <v>0.36</v>
      </c>
      <c r="L24" s="45">
        <f t="shared" si="2"/>
        <v>9.3000000000000007</v>
      </c>
      <c r="M24">
        <f t="shared" si="20"/>
        <v>7</v>
      </c>
      <c r="N24">
        <f t="shared" si="3"/>
        <v>12.890231219220112</v>
      </c>
      <c r="O24">
        <f t="shared" si="29"/>
        <v>35.457094201718675</v>
      </c>
      <c r="P24">
        <f t="shared" si="4"/>
        <v>217.09881774536566</v>
      </c>
      <c r="R24" s="41" t="s">
        <v>111</v>
      </c>
      <c r="S24">
        <v>0.34</v>
      </c>
      <c r="T24" s="45">
        <f t="shared" si="5"/>
        <v>42.78</v>
      </c>
      <c r="U24">
        <f t="shared" si="21"/>
        <v>30</v>
      </c>
      <c r="V24">
        <f t="shared" si="6"/>
        <v>992.18083716958711</v>
      </c>
      <c r="W24">
        <f t="shared" si="30"/>
        <v>35.457094201718675</v>
      </c>
      <c r="X24">
        <f t="shared" si="7"/>
        <v>16710.428469114522</v>
      </c>
      <c r="Z24" s="40" t="s">
        <v>86</v>
      </c>
      <c r="AA24">
        <v>0.6</v>
      </c>
      <c r="AB24" s="45">
        <f t="shared" si="22"/>
        <v>27.900000000000002</v>
      </c>
      <c r="AC24">
        <f t="shared" si="23"/>
        <v>8</v>
      </c>
      <c r="AD24">
        <f t="shared" si="8"/>
        <v>206.40771053304442</v>
      </c>
      <c r="AE24">
        <f t="shared" si="31"/>
        <v>35.457094201718675</v>
      </c>
      <c r="AF24">
        <f t="shared" si="24"/>
        <v>3476.3433772573371</v>
      </c>
      <c r="AH24" s="41" t="s">
        <v>125</v>
      </c>
      <c r="AI24">
        <v>0.215</v>
      </c>
      <c r="AJ24" s="45">
        <f t="shared" si="25"/>
        <v>21.948</v>
      </c>
      <c r="AK24">
        <f t="shared" si="26"/>
        <v>15.743683069015908</v>
      </c>
      <c r="AL24">
        <f t="shared" si="9"/>
        <v>91.886928131355191</v>
      </c>
      <c r="AM24">
        <f t="shared" si="32"/>
        <v>35.457094201718675</v>
      </c>
      <c r="AN24">
        <f t="shared" si="10"/>
        <v>1547.570646663507</v>
      </c>
      <c r="AP24" s="41" t="s">
        <v>31</v>
      </c>
      <c r="AQ24">
        <v>0.67500000000000004</v>
      </c>
      <c r="AR24" s="45">
        <f t="shared" si="33"/>
        <v>22.60535893706513</v>
      </c>
      <c r="AS24">
        <f t="shared" si="34"/>
        <v>15</v>
      </c>
      <c r="AT24">
        <f t="shared" si="11"/>
        <v>283.59677148281878</v>
      </c>
      <c r="AU24">
        <f t="shared" si="35"/>
        <v>35.457094201718675</v>
      </c>
      <c r="AV24">
        <f t="shared" si="12"/>
        <v>4776.3707848405556</v>
      </c>
      <c r="AX24">
        <f>AX23+Calculations!$C$24</f>
        <v>4.1497866666666647</v>
      </c>
      <c r="AY24">
        <f t="shared" si="13"/>
        <v>15.229717066666659</v>
      </c>
      <c r="AZ24">
        <f t="shared" si="14"/>
        <v>99.556644699774353</v>
      </c>
      <c r="BA24">
        <f t="shared" si="27"/>
        <v>32.853692750925539</v>
      </c>
      <c r="BB24">
        <f t="shared" si="15"/>
        <v>132.4103374506999</v>
      </c>
      <c r="BC24">
        <f t="shared" si="16"/>
        <v>147.64005451736656</v>
      </c>
      <c r="BH24">
        <f t="shared" si="17"/>
        <v>212.74256521031208</v>
      </c>
      <c r="BI24" s="30">
        <f t="shared" si="36"/>
        <v>21.995559822844186</v>
      </c>
      <c r="BJ24" s="30">
        <f t="shared" si="37"/>
        <v>21.995559822844186</v>
      </c>
    </row>
    <row r="25" spans="1:62">
      <c r="A25" s="39">
        <v>21</v>
      </c>
      <c r="B25" s="41" t="s">
        <v>106</v>
      </c>
      <c r="C25">
        <v>0.88100000000000001</v>
      </c>
      <c r="D25" s="45">
        <f t="shared" si="18"/>
        <v>7.8120000000000012</v>
      </c>
      <c r="E25">
        <f t="shared" si="19"/>
        <v>8.6023019416486282</v>
      </c>
      <c r="F25">
        <f t="shared" si="0"/>
        <v>26.863794878005294</v>
      </c>
      <c r="G25">
        <f t="shared" si="28"/>
        <v>35.27980873071008</v>
      </c>
      <c r="H25">
        <f t="shared" si="1"/>
        <v>450.18103391160156</v>
      </c>
      <c r="J25" s="40" t="s">
        <v>117</v>
      </c>
      <c r="K25">
        <v>0.36</v>
      </c>
      <c r="L25" s="45">
        <f t="shared" si="2"/>
        <v>9.7650000000000006</v>
      </c>
      <c r="M25">
        <f t="shared" si="20"/>
        <v>7</v>
      </c>
      <c r="N25">
        <f t="shared" si="3"/>
        <v>14.17823660007134</v>
      </c>
      <c r="O25">
        <f t="shared" si="29"/>
        <v>35.27980873071008</v>
      </c>
      <c r="P25">
        <f t="shared" si="4"/>
        <v>237.59760080990327</v>
      </c>
      <c r="R25" s="41" t="s">
        <v>111</v>
      </c>
      <c r="S25">
        <v>0.34</v>
      </c>
      <c r="T25" s="45">
        <f t="shared" si="5"/>
        <v>44.918999999999997</v>
      </c>
      <c r="U25">
        <f t="shared" si="21"/>
        <v>30</v>
      </c>
      <c r="V25">
        <f t="shared" si="6"/>
        <v>1091.3205837977491</v>
      </c>
      <c r="W25">
        <f t="shared" si="30"/>
        <v>35.27980873071008</v>
      </c>
      <c r="X25">
        <f t="shared" si="7"/>
        <v>18288.251193628937</v>
      </c>
      <c r="Z25" s="40" t="s">
        <v>86</v>
      </c>
      <c r="AA25">
        <v>0.6</v>
      </c>
      <c r="AB25" s="45">
        <f t="shared" si="22"/>
        <v>29.295000000000002</v>
      </c>
      <c r="AC25">
        <f t="shared" si="23"/>
        <v>8</v>
      </c>
      <c r="AD25">
        <f t="shared" si="8"/>
        <v>227.03218477981662</v>
      </c>
      <c r="AE25">
        <f t="shared" si="31"/>
        <v>35.27980873071008</v>
      </c>
      <c r="AF25">
        <f t="shared" si="24"/>
        <v>3804.5847260048999</v>
      </c>
      <c r="AH25" s="41" t="s">
        <v>125</v>
      </c>
      <c r="AI25">
        <v>0.215</v>
      </c>
      <c r="AJ25" s="45">
        <f t="shared" si="25"/>
        <v>23.045399999999997</v>
      </c>
      <c r="AK25">
        <f t="shared" si="26"/>
        <v>16.170545391106437</v>
      </c>
      <c r="AL25">
        <f t="shared" si="9"/>
        <v>103.74202811627814</v>
      </c>
      <c r="AM25">
        <f t="shared" si="32"/>
        <v>35.27980873071008</v>
      </c>
      <c r="AN25">
        <f t="shared" si="10"/>
        <v>1738.4994819071637</v>
      </c>
      <c r="AP25" s="41" t="s">
        <v>31</v>
      </c>
      <c r="AQ25">
        <v>0.67500000000000004</v>
      </c>
      <c r="AR25" s="45">
        <f t="shared" si="33"/>
        <v>23.074897912572649</v>
      </c>
      <c r="AS25">
        <f t="shared" si="34"/>
        <v>15</v>
      </c>
      <c r="AT25">
        <f t="shared" si="11"/>
        <v>295.20892419862867</v>
      </c>
      <c r="AU25">
        <f t="shared" si="35"/>
        <v>35.27980873071008</v>
      </c>
      <c r="AV25">
        <f t="shared" si="12"/>
        <v>4947.0843311299968</v>
      </c>
      <c r="AX25">
        <f>AX24+Calculations!$C$24</f>
        <v>4.3572759999999979</v>
      </c>
      <c r="AY25">
        <f t="shared" si="13"/>
        <v>15.991202919999992</v>
      </c>
      <c r="AZ25">
        <f t="shared" si="14"/>
        <v>108.1409480083305</v>
      </c>
      <c r="BA25">
        <f t="shared" si="27"/>
        <v>35.686512842749067</v>
      </c>
      <c r="BB25">
        <f t="shared" si="15"/>
        <v>143.82746085107956</v>
      </c>
      <c r="BC25">
        <f t="shared" si="16"/>
        <v>159.81866377107957</v>
      </c>
      <c r="BH25">
        <f t="shared" si="17"/>
        <v>211.67885238426047</v>
      </c>
      <c r="BI25">
        <f t="shared" si="36"/>
        <v>22.985216318762109</v>
      </c>
      <c r="BJ25">
        <f t="shared" si="37"/>
        <v>22.985216318762109</v>
      </c>
    </row>
    <row r="26" spans="1:62">
      <c r="A26" s="39">
        <v>22</v>
      </c>
      <c r="B26" s="41" t="s">
        <v>106</v>
      </c>
      <c r="C26">
        <v>0.88100000000000001</v>
      </c>
      <c r="D26" s="45">
        <f t="shared" si="18"/>
        <v>8.1840000000000011</v>
      </c>
      <c r="E26">
        <f t="shared" si="19"/>
        <v>8.8534628869504211</v>
      </c>
      <c r="F26">
        <f t="shared" si="0"/>
        <v>30.255399890044405</v>
      </c>
      <c r="G26">
        <f t="shared" si="28"/>
        <v>35.103409687056526</v>
      </c>
      <c r="H26">
        <f t="shared" si="1"/>
        <v>504.48215635332798</v>
      </c>
      <c r="J26" s="40" t="s">
        <v>117</v>
      </c>
      <c r="K26">
        <v>0.36</v>
      </c>
      <c r="L26" s="45">
        <f t="shared" si="2"/>
        <v>10.23</v>
      </c>
      <c r="M26">
        <f t="shared" si="20"/>
        <v>7</v>
      </c>
      <c r="N26">
        <f t="shared" si="3"/>
        <v>15.525987387624351</v>
      </c>
      <c r="O26">
        <f t="shared" si="29"/>
        <v>35.103409687056526</v>
      </c>
      <c r="P26">
        <f t="shared" si="4"/>
        <v>258.8821706303288</v>
      </c>
      <c r="R26" s="41" t="s">
        <v>111</v>
      </c>
      <c r="S26">
        <v>0.34</v>
      </c>
      <c r="T26" s="45">
        <f t="shared" si="5"/>
        <v>47.058</v>
      </c>
      <c r="U26">
        <f t="shared" si="21"/>
        <v>30</v>
      </c>
      <c r="V26">
        <f t="shared" si="6"/>
        <v>1195.0590258744487</v>
      </c>
      <c r="W26">
        <f t="shared" si="30"/>
        <v>35.103409687056526</v>
      </c>
      <c r="X26">
        <f t="shared" si="7"/>
        <v>19926.557128105593</v>
      </c>
      <c r="Z26" s="40" t="s">
        <v>86</v>
      </c>
      <c r="AA26">
        <v>0.6</v>
      </c>
      <c r="AB26" s="45">
        <f t="shared" si="22"/>
        <v>30.69</v>
      </c>
      <c r="AC26">
        <f t="shared" si="23"/>
        <v>8</v>
      </c>
      <c r="AD26">
        <f t="shared" si="8"/>
        <v>248.61334571455106</v>
      </c>
      <c r="AE26">
        <f t="shared" si="31"/>
        <v>35.103409687056526</v>
      </c>
      <c r="AF26">
        <f t="shared" si="24"/>
        <v>4145.4086609366595</v>
      </c>
      <c r="AH26" s="41" t="s">
        <v>125</v>
      </c>
      <c r="AI26">
        <v>0.215</v>
      </c>
      <c r="AJ26" s="45">
        <f t="shared" si="25"/>
        <v>24.142799999999998</v>
      </c>
      <c r="AK26">
        <f t="shared" si="26"/>
        <v>16.585819699337446</v>
      </c>
      <c r="AL26">
        <f t="shared" si="9"/>
        <v>116.4500612507253</v>
      </c>
      <c r="AM26">
        <f t="shared" si="32"/>
        <v>35.103409687056526</v>
      </c>
      <c r="AN26">
        <f t="shared" si="10"/>
        <v>1941.7022488793421</v>
      </c>
      <c r="AP26" s="41" t="s">
        <v>31</v>
      </c>
      <c r="AQ26">
        <v>0.67500000000000004</v>
      </c>
      <c r="AR26" s="45">
        <f t="shared" si="33"/>
        <v>23.522589795837231</v>
      </c>
      <c r="AS26">
        <f t="shared" si="34"/>
        <v>15</v>
      </c>
      <c r="AT26">
        <f t="shared" si="11"/>
        <v>306.49232176019245</v>
      </c>
      <c r="AU26">
        <f t="shared" si="35"/>
        <v>35.103409687056526</v>
      </c>
      <c r="AV26">
        <f t="shared" si="12"/>
        <v>5110.4896299254624</v>
      </c>
      <c r="AX26">
        <f>AX25+Calculations!$C$24</f>
        <v>4.5647653333333311</v>
      </c>
      <c r="AY26">
        <f t="shared" si="13"/>
        <v>16.752688773333325</v>
      </c>
      <c r="AZ26">
        <f t="shared" si="14"/>
        <v>117.02720572102872</v>
      </c>
      <c r="BA26">
        <f t="shared" si="27"/>
        <v>38.618977887939479</v>
      </c>
      <c r="BB26">
        <f t="shared" si="15"/>
        <v>155.64618360896822</v>
      </c>
      <c r="BC26">
        <f t="shared" si="16"/>
        <v>172.39887238230153</v>
      </c>
      <c r="BH26">
        <f t="shared" si="17"/>
        <v>210.62045812233913</v>
      </c>
      <c r="BI26">
        <f t="shared" si="36"/>
        <v>23.97123163263954</v>
      </c>
      <c r="BJ26">
        <f t="shared" si="37"/>
        <v>23.97123163263954</v>
      </c>
    </row>
    <row r="27" spans="1:62">
      <c r="A27" s="39">
        <v>23</v>
      </c>
      <c r="B27" s="41" t="s">
        <v>106</v>
      </c>
      <c r="C27">
        <v>0.88100000000000001</v>
      </c>
      <c r="D27" s="45">
        <f t="shared" si="18"/>
        <v>8.5560000000000009</v>
      </c>
      <c r="E27">
        <f t="shared" si="19"/>
        <v>9.0990546340281195</v>
      </c>
      <c r="F27">
        <f t="shared" si="0"/>
        <v>33.891006560556306</v>
      </c>
      <c r="G27">
        <f t="shared" si="28"/>
        <v>34.927892638621245</v>
      </c>
      <c r="H27">
        <f t="shared" si="1"/>
        <v>562.27718331691142</v>
      </c>
      <c r="J27" s="40" t="s">
        <v>117</v>
      </c>
      <c r="K27">
        <v>0.36</v>
      </c>
      <c r="L27" s="45">
        <f t="shared" si="2"/>
        <v>10.695</v>
      </c>
      <c r="M27">
        <f t="shared" si="20"/>
        <v>7</v>
      </c>
      <c r="N27">
        <f t="shared" si="3"/>
        <v>16.933350271180728</v>
      </c>
      <c r="O27">
        <f t="shared" si="29"/>
        <v>34.927892638621245</v>
      </c>
      <c r="P27">
        <f t="shared" si="4"/>
        <v>280.93696413488499</v>
      </c>
      <c r="R27" s="41" t="s">
        <v>111</v>
      </c>
      <c r="S27">
        <v>0.34</v>
      </c>
      <c r="T27" s="45">
        <f t="shared" si="5"/>
        <v>49.197000000000003</v>
      </c>
      <c r="U27">
        <f t="shared" si="21"/>
        <v>30</v>
      </c>
      <c r="V27">
        <f t="shared" si="6"/>
        <v>1303.3859022710749</v>
      </c>
      <c r="W27">
        <f t="shared" si="30"/>
        <v>34.927892638621245</v>
      </c>
      <c r="X27">
        <f t="shared" si="7"/>
        <v>21624.148359077877</v>
      </c>
      <c r="Z27" s="40" t="s">
        <v>86</v>
      </c>
      <c r="AA27">
        <v>0.6</v>
      </c>
      <c r="AB27" s="45">
        <f t="shared" si="22"/>
        <v>32.085000000000001</v>
      </c>
      <c r="AC27">
        <f t="shared" si="23"/>
        <v>8</v>
      </c>
      <c r="AD27">
        <f t="shared" si="8"/>
        <v>271.14905866987186</v>
      </c>
      <c r="AE27">
        <f t="shared" si="31"/>
        <v>34.927892638621245</v>
      </c>
      <c r="AF27">
        <f t="shared" si="24"/>
        <v>4498.5659748851367</v>
      </c>
      <c r="AH27" s="41" t="s">
        <v>125</v>
      </c>
      <c r="AI27">
        <v>0.215</v>
      </c>
      <c r="AJ27" s="45">
        <f t="shared" si="25"/>
        <v>25.240199999999998</v>
      </c>
      <c r="AK27">
        <f t="shared" si="26"/>
        <v>16.990255162363553</v>
      </c>
      <c r="AL27">
        <f t="shared" si="9"/>
        <v>130.02750654534339</v>
      </c>
      <c r="AM27">
        <f t="shared" si="32"/>
        <v>34.927892638621245</v>
      </c>
      <c r="AN27">
        <f t="shared" si="10"/>
        <v>2157.2537246246029</v>
      </c>
      <c r="AP27" s="41" t="s">
        <v>31</v>
      </c>
      <c r="AQ27">
        <v>0.67500000000000004</v>
      </c>
      <c r="AR27" s="45">
        <f t="shared" si="33"/>
        <v>23.95037755618441</v>
      </c>
      <c r="AS27">
        <f t="shared" si="34"/>
        <v>15</v>
      </c>
      <c r="AT27">
        <f t="shared" si="11"/>
        <v>317.46682601663952</v>
      </c>
      <c r="AU27">
        <f t="shared" si="35"/>
        <v>34.927892638621245</v>
      </c>
      <c r="AV27">
        <f t="shared" si="12"/>
        <v>5267.012427330691</v>
      </c>
      <c r="AX27">
        <f>AX26+Calculations!$C$24</f>
        <v>4.7722546666666643</v>
      </c>
      <c r="AY27">
        <f t="shared" si="13"/>
        <v>17.514174626666659</v>
      </c>
      <c r="AZ27">
        <f t="shared" si="14"/>
        <v>126.21201430446828</v>
      </c>
      <c r="BA27">
        <f t="shared" si="27"/>
        <v>41.649964720474536</v>
      </c>
      <c r="BB27">
        <f t="shared" si="15"/>
        <v>167.86197902494283</v>
      </c>
      <c r="BC27">
        <f t="shared" si="16"/>
        <v>185.37615365160948</v>
      </c>
      <c r="BH27">
        <f t="shared" si="17"/>
        <v>209.56735583172747</v>
      </c>
      <c r="BI27">
        <f t="shared" si="36"/>
        <v>24.953929592697406</v>
      </c>
      <c r="BJ27">
        <f t="shared" si="37"/>
        <v>24.953929592697406</v>
      </c>
    </row>
    <row r="28" spans="1:62">
      <c r="A28" s="39">
        <v>24</v>
      </c>
      <c r="B28" s="41" t="s">
        <v>106</v>
      </c>
      <c r="C28">
        <v>0.88100000000000001</v>
      </c>
      <c r="D28" s="45">
        <f t="shared" si="18"/>
        <v>8.9280000000000026</v>
      </c>
      <c r="E28">
        <f t="shared" si="19"/>
        <v>9.3393977838929612</v>
      </c>
      <c r="F28">
        <f t="shared" si="0"/>
        <v>37.775909876734268</v>
      </c>
      <c r="G28">
        <f t="shared" si="28"/>
        <v>34.753253175428135</v>
      </c>
      <c r="H28">
        <f t="shared" si="1"/>
        <v>623.59698594219356</v>
      </c>
      <c r="J28" s="40" t="s">
        <v>117</v>
      </c>
      <c r="K28">
        <v>0.36</v>
      </c>
      <c r="L28" s="45">
        <f t="shared" si="2"/>
        <v>11.16</v>
      </c>
      <c r="M28">
        <f t="shared" si="20"/>
        <v>7</v>
      </c>
      <c r="N28">
        <f t="shared" si="3"/>
        <v>18.4001981490653</v>
      </c>
      <c r="O28">
        <f t="shared" si="29"/>
        <v>34.753253175428135</v>
      </c>
      <c r="P28">
        <f t="shared" si="4"/>
        <v>303.7467037574425</v>
      </c>
      <c r="R28" s="41" t="s">
        <v>111</v>
      </c>
      <c r="S28">
        <v>0.34</v>
      </c>
      <c r="T28" s="45">
        <f t="shared" si="5"/>
        <v>51.335999999999999</v>
      </c>
      <c r="U28">
        <f t="shared" si="21"/>
        <v>30</v>
      </c>
      <c r="V28">
        <f t="shared" si="6"/>
        <v>1416.2914297770417</v>
      </c>
      <c r="W28">
        <f t="shared" si="30"/>
        <v>34.753253175428135</v>
      </c>
      <c r="X28">
        <f t="shared" si="7"/>
        <v>23379.848948884544</v>
      </c>
      <c r="Z28" s="40" t="s">
        <v>86</v>
      </c>
      <c r="AA28">
        <v>0.6</v>
      </c>
      <c r="AB28" s="45">
        <f t="shared" si="22"/>
        <v>33.480000000000004</v>
      </c>
      <c r="AC28">
        <f t="shared" si="23"/>
        <v>8</v>
      </c>
      <c r="AD28">
        <f t="shared" si="8"/>
        <v>294.63728840177606</v>
      </c>
      <c r="AE28">
        <f t="shared" si="31"/>
        <v>34.753253175428135</v>
      </c>
      <c r="AF28">
        <f t="shared" si="24"/>
        <v>4863.8120324055653</v>
      </c>
      <c r="AH28" s="41" t="s">
        <v>125</v>
      </c>
      <c r="AI28">
        <v>0.215</v>
      </c>
      <c r="AJ28" s="45">
        <f t="shared" si="25"/>
        <v>26.337600000000002</v>
      </c>
      <c r="AK28">
        <f t="shared" si="26"/>
        <v>17.384524308757829</v>
      </c>
      <c r="AL28">
        <f t="shared" si="9"/>
        <v>144.49028340484961</v>
      </c>
      <c r="AM28">
        <f t="shared" si="32"/>
        <v>34.753253175428135</v>
      </c>
      <c r="AN28">
        <f t="shared" si="10"/>
        <v>2385.2160152650977</v>
      </c>
      <c r="AP28" s="41" t="s">
        <v>31</v>
      </c>
      <c r="AQ28">
        <v>0.67500000000000004</v>
      </c>
      <c r="AR28" s="45">
        <f t="shared" si="33"/>
        <v>24.359955963889707</v>
      </c>
      <c r="AS28">
        <f t="shared" si="34"/>
        <v>15</v>
      </c>
      <c r="AT28">
        <f t="shared" si="11"/>
        <v>328.15055351727852</v>
      </c>
      <c r="AU28">
        <f t="shared" si="35"/>
        <v>34.753253175428135</v>
      </c>
      <c r="AV28">
        <f t="shared" si="12"/>
        <v>5417.0421513703586</v>
      </c>
      <c r="AX28">
        <f>AX27+Calculations!$C$24</f>
        <v>4.9797439999999975</v>
      </c>
      <c r="AY28">
        <f t="shared" si="13"/>
        <v>18.275660479999992</v>
      </c>
      <c r="AZ28">
        <f t="shared" si="14"/>
        <v>135.69187461408447</v>
      </c>
      <c r="BA28">
        <f t="shared" si="27"/>
        <v>44.778318622647873</v>
      </c>
      <c r="BB28">
        <f t="shared" si="15"/>
        <v>180.47019323673234</v>
      </c>
      <c r="BC28">
        <f t="shared" si="16"/>
        <v>198.74585371673234</v>
      </c>
      <c r="BH28">
        <f t="shared" si="17"/>
        <v>208.51951905256882</v>
      </c>
      <c r="BI28">
        <f t="shared" si="36"/>
        <v>25.933592660648287</v>
      </c>
      <c r="BJ28">
        <f t="shared" si="37"/>
        <v>25.933592660648284</v>
      </c>
    </row>
    <row r="29" spans="1:62">
      <c r="A29" s="39">
        <v>25</v>
      </c>
      <c r="B29" s="41" t="s">
        <v>106</v>
      </c>
      <c r="C29">
        <v>0.88100000000000001</v>
      </c>
      <c r="D29" s="45">
        <f t="shared" si="18"/>
        <v>9.3000000000000007</v>
      </c>
      <c r="E29">
        <f t="shared" si="19"/>
        <v>9.5747828932343708</v>
      </c>
      <c r="F29">
        <f t="shared" si="0"/>
        <v>41.91525447256717</v>
      </c>
      <c r="G29">
        <f t="shared" si="28"/>
        <v>34.579486909550994</v>
      </c>
      <c r="H29">
        <f t="shared" si="1"/>
        <v>688.46879683870179</v>
      </c>
      <c r="J29" s="40" t="s">
        <v>117</v>
      </c>
      <c r="K29">
        <v>0.36</v>
      </c>
      <c r="L29" s="45">
        <f t="shared" si="2"/>
        <v>11.625</v>
      </c>
      <c r="M29">
        <f t="shared" si="20"/>
        <v>7</v>
      </c>
      <c r="N29">
        <f t="shared" si="3"/>
        <v>19.926409587299474</v>
      </c>
      <c r="O29">
        <f t="shared" si="29"/>
        <v>34.579486909550994</v>
      </c>
      <c r="P29">
        <f t="shared" si="4"/>
        <v>327.29638425222743</v>
      </c>
      <c r="R29" s="41" t="s">
        <v>111</v>
      </c>
      <c r="S29">
        <v>0.34</v>
      </c>
      <c r="T29" s="45">
        <f t="shared" si="5"/>
        <v>53.474999999999994</v>
      </c>
      <c r="U29">
        <f t="shared" si="21"/>
        <v>30</v>
      </c>
      <c r="V29">
        <f t="shared" si="6"/>
        <v>1533.7662614330552</v>
      </c>
      <c r="W29">
        <f t="shared" si="30"/>
        <v>34.579486909550994</v>
      </c>
      <c r="X29">
        <f t="shared" si="7"/>
        <v>25192.503920779269</v>
      </c>
      <c r="Z29" s="40" t="s">
        <v>86</v>
      </c>
      <c r="AA29">
        <v>0.6</v>
      </c>
      <c r="AB29" s="45">
        <f t="shared" si="22"/>
        <v>34.875</v>
      </c>
      <c r="AC29">
        <f t="shared" si="23"/>
        <v>8</v>
      </c>
      <c r="AD29">
        <f t="shared" si="8"/>
        <v>319.0760904215212</v>
      </c>
      <c r="AE29">
        <f t="shared" si="31"/>
        <v>34.579486909550994</v>
      </c>
      <c r="AF29">
        <f t="shared" si="24"/>
        <v>5240.9065586438082</v>
      </c>
      <c r="AH29" s="41" t="s">
        <v>125</v>
      </c>
      <c r="AI29">
        <v>0.215</v>
      </c>
      <c r="AJ29" s="45">
        <f t="shared" si="25"/>
        <v>27.435000000000002</v>
      </c>
      <c r="AK29">
        <f t="shared" si="26"/>
        <v>17.769233595054022</v>
      </c>
      <c r="AL29">
        <f t="shared" si="9"/>
        <v>159.85379085016601</v>
      </c>
      <c r="AM29">
        <f t="shared" si="32"/>
        <v>34.579486909550994</v>
      </c>
      <c r="AN29">
        <f t="shared" si="10"/>
        <v>2625.6394823690734</v>
      </c>
      <c r="AP29" s="41" t="s">
        <v>31</v>
      </c>
      <c r="AQ29">
        <v>0.67500000000000004</v>
      </c>
      <c r="AR29" s="45">
        <f t="shared" si="33"/>
        <v>24.752812143234614</v>
      </c>
      <c r="AS29">
        <f t="shared" si="34"/>
        <v>15</v>
      </c>
      <c r="AT29">
        <f t="shared" si="11"/>
        <v>338.56006457057043</v>
      </c>
      <c r="AU29">
        <f t="shared" si="35"/>
        <v>34.579486909550994</v>
      </c>
      <c r="AV29">
        <f t="shared" si="12"/>
        <v>5560.9358274345204</v>
      </c>
      <c r="AX29">
        <f>AX28+Calculations!$C$24</f>
        <v>5.1872333333333307</v>
      </c>
      <c r="AY29">
        <f t="shared" si="13"/>
        <v>19.037146333333322</v>
      </c>
      <c r="AZ29">
        <f t="shared" si="14"/>
        <v>145.46320606106559</v>
      </c>
      <c r="BA29">
        <f t="shared" si="27"/>
        <v>48.002858000151647</v>
      </c>
      <c r="BB29">
        <f t="shared" si="15"/>
        <v>193.46606406121725</v>
      </c>
      <c r="BC29">
        <f t="shared" si="16"/>
        <v>212.50321039455056</v>
      </c>
      <c r="BH29">
        <f t="shared" si="17"/>
        <v>207.47692145730599</v>
      </c>
      <c r="BI29" s="30">
        <f t="shared" si="36"/>
        <v>26.910468690539101</v>
      </c>
      <c r="BJ29" s="30">
        <f t="shared" si="37"/>
        <v>26.910468690539098</v>
      </c>
    </row>
    <row r="30" spans="1:62">
      <c r="A30" s="39">
        <v>26</v>
      </c>
      <c r="B30" s="41" t="s">
        <v>106</v>
      </c>
      <c r="C30">
        <v>0.88100000000000001</v>
      </c>
      <c r="D30" s="45">
        <f t="shared" si="18"/>
        <v>9.6720000000000006</v>
      </c>
      <c r="E30">
        <f t="shared" si="19"/>
        <v>9.8054743233127315</v>
      </c>
      <c r="F30">
        <f t="shared" si="0"/>
        <v>46.314044109543552</v>
      </c>
      <c r="G30">
        <f t="shared" si="28"/>
        <v>34.406589475003237</v>
      </c>
      <c r="H30">
        <f t="shared" si="1"/>
        <v>756.91644373702195</v>
      </c>
      <c r="J30" s="40" t="s">
        <v>117</v>
      </c>
      <c r="K30">
        <v>0.36</v>
      </c>
      <c r="L30" s="45">
        <f t="shared" si="2"/>
        <v>12.09</v>
      </c>
      <c r="M30">
        <f t="shared" si="20"/>
        <v>7</v>
      </c>
      <c r="N30">
        <f t="shared" si="3"/>
        <v>21.511868345673754</v>
      </c>
      <c r="O30">
        <f t="shared" si="29"/>
        <v>34.406589475003237</v>
      </c>
      <c r="P30">
        <f t="shared" si="4"/>
        <v>351.57126092970907</v>
      </c>
      <c r="R30" s="41" t="s">
        <v>111</v>
      </c>
      <c r="S30">
        <v>0.34</v>
      </c>
      <c r="T30" s="45">
        <f t="shared" si="5"/>
        <v>55.613999999999997</v>
      </c>
      <c r="U30">
        <f t="shared" si="21"/>
        <v>30</v>
      </c>
      <c r="V30">
        <f t="shared" si="6"/>
        <v>1655.8014500521788</v>
      </c>
      <c r="W30">
        <f t="shared" si="30"/>
        <v>34.406589475003237</v>
      </c>
      <c r="X30">
        <f t="shared" si="7"/>
        <v>27060.978353428683</v>
      </c>
      <c r="Z30" s="40" t="s">
        <v>86</v>
      </c>
      <c r="AA30">
        <v>0.6</v>
      </c>
      <c r="AB30" s="45">
        <f t="shared" si="22"/>
        <v>36.270000000000003</v>
      </c>
      <c r="AC30">
        <f t="shared" si="23"/>
        <v>8</v>
      </c>
      <c r="AD30">
        <f t="shared" si="8"/>
        <v>344.46360340675352</v>
      </c>
      <c r="AE30">
        <f t="shared" si="31"/>
        <v>34.406589475003237</v>
      </c>
      <c r="AF30">
        <f t="shared" si="24"/>
        <v>5629.6134509608346</v>
      </c>
      <c r="AH30" s="41" t="s">
        <v>125</v>
      </c>
      <c r="AI30">
        <v>0.215</v>
      </c>
      <c r="AJ30" s="45">
        <f t="shared" si="25"/>
        <v>28.532400000000003</v>
      </c>
      <c r="AK30">
        <f t="shared" si="26"/>
        <v>18.144932165164072</v>
      </c>
      <c r="AL30">
        <f t="shared" si="9"/>
        <v>176.13294257960499</v>
      </c>
      <c r="AM30">
        <f t="shared" si="32"/>
        <v>34.406589475003237</v>
      </c>
      <c r="AN30">
        <f t="shared" si="10"/>
        <v>2878.5635779713734</v>
      </c>
      <c r="AP30" s="41" t="s">
        <v>31</v>
      </c>
      <c r="AQ30">
        <v>0.67500000000000004</v>
      </c>
      <c r="AR30" s="45">
        <f t="shared" si="33"/>
        <v>25.13025816716506</v>
      </c>
      <c r="AS30">
        <f t="shared" si="34"/>
        <v>15</v>
      </c>
      <c r="AT30">
        <f t="shared" si="11"/>
        <v>348.71053013727311</v>
      </c>
      <c r="AU30">
        <f t="shared" si="35"/>
        <v>34.406589475003237</v>
      </c>
      <c r="AV30">
        <f t="shared" si="12"/>
        <v>5699.0215266208525</v>
      </c>
      <c r="AX30">
        <f>AX29+Calculations!$C$24</f>
        <v>5.3947226666666639</v>
      </c>
      <c r="AY30">
        <f t="shared" si="13"/>
        <v>19.798632186666655</v>
      </c>
      <c r="AZ30">
        <f t="shared" si="14"/>
        <v>155.52235913208989</v>
      </c>
      <c r="BA30">
        <f t="shared" si="27"/>
        <v>51.322378513589669</v>
      </c>
      <c r="BB30">
        <f t="shared" si="15"/>
        <v>206.84473764567957</v>
      </c>
      <c r="BC30">
        <f t="shared" si="16"/>
        <v>226.64336983234622</v>
      </c>
      <c r="BH30">
        <f t="shared" si="17"/>
        <v>206.43953685001944</v>
      </c>
      <c r="BI30">
        <f t="shared" si="36"/>
        <v>27.884776361194181</v>
      </c>
      <c r="BJ30">
        <f t="shared" si="37"/>
        <v>27.884776361194177</v>
      </c>
    </row>
    <row r="31" spans="1:62">
      <c r="A31" s="39">
        <v>27</v>
      </c>
      <c r="B31" s="41" t="s">
        <v>106</v>
      </c>
      <c r="C31">
        <v>0.88100000000000001</v>
      </c>
      <c r="D31" s="45">
        <f t="shared" si="18"/>
        <v>10.044</v>
      </c>
      <c r="E31">
        <f t="shared" si="19"/>
        <v>10.031713471559929</v>
      </c>
      <c r="F31">
        <f t="shared" si="0"/>
        <v>50.97715022947709</v>
      </c>
      <c r="G31">
        <f t="shared" si="28"/>
        <v>34.234556527628222</v>
      </c>
      <c r="H31">
        <f t="shared" si="1"/>
        <v>828.96056229550391</v>
      </c>
      <c r="J31" s="40" t="s">
        <v>117</v>
      </c>
      <c r="K31">
        <v>0.36</v>
      </c>
      <c r="L31" s="45">
        <f t="shared" si="2"/>
        <v>12.555000000000001</v>
      </c>
      <c r="M31">
        <f t="shared" si="20"/>
        <v>7</v>
      </c>
      <c r="N31">
        <f t="shared" si="3"/>
        <v>23.156462960507415</v>
      </c>
      <c r="O31">
        <f t="shared" si="29"/>
        <v>34.234556527628222</v>
      </c>
      <c r="P31">
        <f t="shared" si="4"/>
        <v>376.5568390956746</v>
      </c>
      <c r="R31" s="41" t="s">
        <v>111</v>
      </c>
      <c r="S31">
        <v>0.34</v>
      </c>
      <c r="T31" s="45">
        <f t="shared" si="5"/>
        <v>57.753</v>
      </c>
      <c r="U31">
        <f t="shared" si="21"/>
        <v>30</v>
      </c>
      <c r="V31">
        <f t="shared" si="6"/>
        <v>1782.388416104214</v>
      </c>
      <c r="W31">
        <f t="shared" si="30"/>
        <v>34.234556527628222</v>
      </c>
      <c r="X31">
        <f t="shared" si="7"/>
        <v>28984.156568021983</v>
      </c>
      <c r="Z31" s="40" t="s">
        <v>86</v>
      </c>
      <c r="AA31">
        <v>0.6</v>
      </c>
      <c r="AB31" s="45">
        <f t="shared" si="22"/>
        <v>37.664999999999999</v>
      </c>
      <c r="AC31">
        <f t="shared" si="23"/>
        <v>8</v>
      </c>
      <c r="AD31">
        <f t="shared" si="8"/>
        <v>370.79804252035512</v>
      </c>
      <c r="AE31">
        <f t="shared" si="31"/>
        <v>34.234556527628222</v>
      </c>
      <c r="AF31">
        <f t="shared" si="24"/>
        <v>6029.7006098235706</v>
      </c>
      <c r="AH31" s="41" t="s">
        <v>125</v>
      </c>
      <c r="AI31">
        <v>0.215</v>
      </c>
      <c r="AJ31" s="45">
        <f t="shared" si="25"/>
        <v>29.629799999999999</v>
      </c>
      <c r="AK31">
        <f t="shared" si="26"/>
        <v>18.512119166731441</v>
      </c>
      <c r="AL31">
        <f t="shared" si="9"/>
        <v>193.34219845233096</v>
      </c>
      <c r="AM31">
        <f t="shared" si="32"/>
        <v>34.234556527628222</v>
      </c>
      <c r="AN31">
        <f t="shared" si="10"/>
        <v>3144.017600493813</v>
      </c>
      <c r="AP31" s="41" t="s">
        <v>31</v>
      </c>
      <c r="AQ31">
        <v>0.67500000000000004</v>
      </c>
      <c r="AR31" s="45">
        <f t="shared" si="33"/>
        <v>25.493457497153905</v>
      </c>
      <c r="AS31">
        <f t="shared" si="34"/>
        <v>15</v>
      </c>
      <c r="AT31">
        <f t="shared" si="11"/>
        <v>358.61587878870461</v>
      </c>
      <c r="AU31">
        <f t="shared" si="35"/>
        <v>34.234556527628222</v>
      </c>
      <c r="AV31">
        <f t="shared" si="12"/>
        <v>5831.6013976960639</v>
      </c>
      <c r="AX31">
        <f>AX30+Calculations!$C$24</f>
        <v>5.6022119999999971</v>
      </c>
      <c r="AY31">
        <f t="shared" si="13"/>
        <v>20.560118039999988</v>
      </c>
      <c r="AZ31">
        <f t="shared" si="14"/>
        <v>165.86562642915564</v>
      </c>
      <c r="BA31">
        <f t="shared" si="27"/>
        <v>54.735656721621361</v>
      </c>
      <c r="BB31">
        <f t="shared" si="15"/>
        <v>220.60128315077699</v>
      </c>
      <c r="BC31">
        <f t="shared" si="16"/>
        <v>241.16140119077699</v>
      </c>
      <c r="BH31">
        <f t="shared" si="17"/>
        <v>205.40733916576934</v>
      </c>
      <c r="BI31">
        <f t="shared" si="36"/>
        <v>28.856709582858983</v>
      </c>
      <c r="BJ31">
        <f t="shared" si="37"/>
        <v>28.856709582858983</v>
      </c>
    </row>
    <row r="32" spans="1:62">
      <c r="A32" s="39">
        <v>28</v>
      </c>
      <c r="B32" s="41" t="s">
        <v>106</v>
      </c>
      <c r="C32">
        <v>0.88100000000000001</v>
      </c>
      <c r="D32" s="45">
        <f t="shared" si="18"/>
        <v>10.416000000000002</v>
      </c>
      <c r="E32">
        <f t="shared" si="19"/>
        <v>10.25372150352122</v>
      </c>
      <c r="F32">
        <f t="shared" si="0"/>
        <v>55.909319700973043</v>
      </c>
      <c r="G32">
        <f t="shared" si="28"/>
        <v>34.063383744990084</v>
      </c>
      <c r="H32">
        <f t="shared" si="1"/>
        <v>904.6187906504</v>
      </c>
      <c r="J32" s="40" t="s">
        <v>117</v>
      </c>
      <c r="K32">
        <v>0.36</v>
      </c>
      <c r="L32" s="45">
        <f t="shared" si="2"/>
        <v>13.020000000000001</v>
      </c>
      <c r="M32">
        <f t="shared" si="20"/>
        <v>7</v>
      </c>
      <c r="N32">
        <f t="shared" si="3"/>
        <v>24.860086375427965</v>
      </c>
      <c r="O32">
        <f t="shared" si="29"/>
        <v>34.063383744990084</v>
      </c>
      <c r="P32">
        <f t="shared" si="4"/>
        <v>402.23886451640612</v>
      </c>
      <c r="R32" s="41" t="s">
        <v>111</v>
      </c>
      <c r="S32">
        <v>0.34</v>
      </c>
      <c r="T32" s="45">
        <f t="shared" si="5"/>
        <v>59.891999999999996</v>
      </c>
      <c r="U32">
        <f t="shared" si="21"/>
        <v>30</v>
      </c>
      <c r="V32">
        <f t="shared" si="6"/>
        <v>1913.5189192962125</v>
      </c>
      <c r="W32">
        <f t="shared" si="30"/>
        <v>34.063383744990084</v>
      </c>
      <c r="X32">
        <f t="shared" si="7"/>
        <v>30960.941394360656</v>
      </c>
      <c r="Z32" s="40" t="s">
        <v>86</v>
      </c>
      <c r="AA32">
        <v>0.6</v>
      </c>
      <c r="AB32" s="45">
        <f t="shared" si="22"/>
        <v>39.06</v>
      </c>
      <c r="AC32">
        <f t="shared" si="23"/>
        <v>8</v>
      </c>
      <c r="AD32">
        <f t="shared" si="8"/>
        <v>398.07769349821427</v>
      </c>
      <c r="AE32">
        <f t="shared" si="31"/>
        <v>34.063383744990084</v>
      </c>
      <c r="AF32">
        <f t="shared" si="24"/>
        <v>6440.9397861263524</v>
      </c>
      <c r="AH32" s="41" t="s">
        <v>125</v>
      </c>
      <c r="AI32">
        <v>0.215</v>
      </c>
      <c r="AJ32" s="45">
        <f t="shared" si="25"/>
        <v>30.7272</v>
      </c>
      <c r="AK32">
        <f t="shared" si="26"/>
        <v>18.87124990554026</v>
      </c>
      <c r="AL32">
        <f t="shared" si="9"/>
        <v>211.49559287696286</v>
      </c>
      <c r="AM32">
        <f t="shared" si="32"/>
        <v>34.063383744990084</v>
      </c>
      <c r="AN32">
        <f t="shared" si="10"/>
        <v>3422.0213817575341</v>
      </c>
      <c r="AP32" s="41" t="s">
        <v>31</v>
      </c>
      <c r="AQ32">
        <v>0.67500000000000004</v>
      </c>
      <c r="AR32" s="45">
        <f t="shared" si="33"/>
        <v>25.8434466123025</v>
      </c>
      <c r="AS32">
        <f t="shared" si="34"/>
        <v>15</v>
      </c>
      <c r="AT32">
        <f t="shared" si="11"/>
        <v>368.28892599652124</v>
      </c>
      <c r="AU32">
        <f t="shared" si="35"/>
        <v>34.063383744990084</v>
      </c>
      <c r="AV32">
        <f t="shared" si="12"/>
        <v>5958.9543322436348</v>
      </c>
      <c r="AX32">
        <f>AX31+Calculations!$C$24</f>
        <v>5.8097013333333303</v>
      </c>
      <c r="AY32">
        <f t="shared" si="13"/>
        <v>21.321603893333322</v>
      </c>
      <c r="AZ32">
        <f t="shared" si="14"/>
        <v>176.4892523972338</v>
      </c>
      <c r="BA32">
        <f t="shared" si="27"/>
        <v>58.241453291087154</v>
      </c>
      <c r="BB32">
        <f t="shared" si="15"/>
        <v>234.73070568832094</v>
      </c>
      <c r="BC32">
        <f t="shared" si="16"/>
        <v>256.05230958165424</v>
      </c>
      <c r="BH32">
        <f t="shared" si="17"/>
        <v>204.38030246994052</v>
      </c>
      <c r="BI32">
        <f t="shared" si="36"/>
        <v>29.826441102050421</v>
      </c>
      <c r="BJ32">
        <f t="shared" si="37"/>
        <v>29.826441102050417</v>
      </c>
    </row>
    <row r="33" spans="1:62">
      <c r="A33" s="39">
        <v>29</v>
      </c>
      <c r="B33" s="41" t="s">
        <v>106</v>
      </c>
      <c r="C33">
        <v>0.88100000000000001</v>
      </c>
      <c r="D33" s="45">
        <f t="shared" si="18"/>
        <v>10.788000000000002</v>
      </c>
      <c r="E33">
        <f t="shared" si="19"/>
        <v>10.471701677036089</v>
      </c>
      <c r="F33">
        <f t="shared" si="0"/>
        <v>61.11518186135973</v>
      </c>
      <c r="G33">
        <f t="shared" si="28"/>
        <v>33.893066826265134</v>
      </c>
      <c r="H33">
        <f t="shared" si="1"/>
        <v>983.9059478900457</v>
      </c>
      <c r="J33" s="40" t="s">
        <v>117</v>
      </c>
      <c r="K33">
        <v>0.36</v>
      </c>
      <c r="L33" s="45">
        <f t="shared" si="2"/>
        <v>13.485000000000001</v>
      </c>
      <c r="M33">
        <f t="shared" si="20"/>
        <v>7</v>
      </c>
      <c r="N33">
        <f t="shared" si="3"/>
        <v>26.622635613094847</v>
      </c>
      <c r="O33">
        <f t="shared" si="29"/>
        <v>33.893066826265134</v>
      </c>
      <c r="P33">
        <f t="shared" si="4"/>
        <v>428.60331476481662</v>
      </c>
      <c r="R33" s="41" t="s">
        <v>111</v>
      </c>
      <c r="S33">
        <v>0.34</v>
      </c>
      <c r="T33" s="45">
        <f t="shared" si="5"/>
        <v>62.030999999999992</v>
      </c>
      <c r="U33">
        <f t="shared" si="21"/>
        <v>30</v>
      </c>
      <c r="V33">
        <f t="shared" si="6"/>
        <v>2049.1850333045809</v>
      </c>
      <c r="W33">
        <f t="shared" si="30"/>
        <v>33.893066826265134</v>
      </c>
      <c r="X33">
        <f t="shared" si="7"/>
        <v>32990.253504757886</v>
      </c>
      <c r="Z33" s="40" t="s">
        <v>86</v>
      </c>
      <c r="AA33">
        <v>0.6</v>
      </c>
      <c r="AB33" s="45">
        <f t="shared" si="22"/>
        <v>40.455000000000005</v>
      </c>
      <c r="AC33">
        <f t="shared" si="23"/>
        <v>8</v>
      </c>
      <c r="AD33">
        <f t="shared" si="8"/>
        <v>426.3009073926346</v>
      </c>
      <c r="AE33">
        <f t="shared" si="31"/>
        <v>33.893066826265134</v>
      </c>
      <c r="AF33">
        <f t="shared" si="24"/>
        <v>6863.1064426191133</v>
      </c>
      <c r="AH33" s="41" t="s">
        <v>125</v>
      </c>
      <c r="AI33">
        <v>0.215</v>
      </c>
      <c r="AJ33" s="45">
        <f t="shared" si="25"/>
        <v>31.8246</v>
      </c>
      <c r="AK33">
        <f t="shared" si="26"/>
        <v>19.222741056437883</v>
      </c>
      <c r="AL33">
        <f t="shared" si="9"/>
        <v>230.60676050806654</v>
      </c>
      <c r="AM33">
        <f t="shared" si="32"/>
        <v>33.893066826265134</v>
      </c>
      <c r="AN33">
        <f t="shared" si="10"/>
        <v>3712.5859136319987</v>
      </c>
      <c r="AP33" s="41" t="s">
        <v>31</v>
      </c>
      <c r="AQ33">
        <v>0.67500000000000004</v>
      </c>
      <c r="AR33" s="45">
        <f t="shared" si="33"/>
        <v>26.181152841291034</v>
      </c>
      <c r="AS33">
        <f t="shared" si="34"/>
        <v>15</v>
      </c>
      <c r="AT33">
        <f t="shared" si="11"/>
        <v>377.74148789874562</v>
      </c>
      <c r="AU33">
        <f t="shared" si="35"/>
        <v>33.893066826265134</v>
      </c>
      <c r="AV33">
        <f t="shared" si="12"/>
        <v>6081.3383088923783</v>
      </c>
      <c r="AX33">
        <f>AX32+Calculations!$C$24</f>
        <v>6.0171906666666635</v>
      </c>
      <c r="AY33">
        <f t="shared" si="13"/>
        <v>22.083089746666655</v>
      </c>
      <c r="AZ33">
        <f t="shared" si="14"/>
        <v>187.38944189748142</v>
      </c>
      <c r="BA33">
        <f t="shared" si="27"/>
        <v>61.838515826168873</v>
      </c>
      <c r="BB33">
        <f t="shared" si="15"/>
        <v>249.22795772365029</v>
      </c>
      <c r="BC33">
        <f t="shared" si="16"/>
        <v>271.31104747031696</v>
      </c>
      <c r="BH33">
        <f t="shared" si="17"/>
        <v>203.35840095759082</v>
      </c>
      <c r="BI33">
        <f t="shared" si="36"/>
        <v>30.794125473548508</v>
      </c>
      <c r="BJ33">
        <f t="shared" si="37"/>
        <v>30.794125473548505</v>
      </c>
    </row>
    <row r="34" spans="1:62">
      <c r="A34" s="39">
        <v>30</v>
      </c>
      <c r="B34" s="41" t="s">
        <v>106</v>
      </c>
      <c r="C34">
        <v>0.88100000000000001</v>
      </c>
      <c r="D34" s="45">
        <f t="shared" si="18"/>
        <v>11.16</v>
      </c>
      <c r="E34">
        <f t="shared" si="19"/>
        <v>10.685841331129799</v>
      </c>
      <c r="F34">
        <f t="shared" si="0"/>
        <v>66.599254939982032</v>
      </c>
      <c r="G34">
        <f t="shared" si="28"/>
        <v>33.72360149213381</v>
      </c>
      <c r="H34">
        <f t="shared" si="1"/>
        <v>1066.8341983027647</v>
      </c>
      <c r="J34" s="40" t="s">
        <v>117</v>
      </c>
      <c r="K34">
        <v>0.36</v>
      </c>
      <c r="L34" s="45">
        <f t="shared" si="2"/>
        <v>13.950000000000001</v>
      </c>
      <c r="M34">
        <f t="shared" si="20"/>
        <v>7</v>
      </c>
      <c r="N34">
        <f>0.0673*(K34*L34^2*M34)^0.976</f>
        <v>28.444011482047564</v>
      </c>
      <c r="O34">
        <f t="shared" si="29"/>
        <v>33.72360149213381</v>
      </c>
      <c r="P34">
        <f>N34*O34*$F$2</f>
        <v>455.63639132766895</v>
      </c>
      <c r="R34" s="41" t="s">
        <v>111</v>
      </c>
      <c r="S34">
        <v>0.34</v>
      </c>
      <c r="T34" s="45">
        <f t="shared" si="5"/>
        <v>64.17</v>
      </c>
      <c r="U34">
        <f t="shared" si="21"/>
        <v>30</v>
      </c>
      <c r="V34">
        <f t="shared" si="6"/>
        <v>2189.3791232107005</v>
      </c>
      <c r="W34">
        <f t="shared" si="30"/>
        <v>33.72360149213381</v>
      </c>
      <c r="X34">
        <f t="shared" si="7"/>
        <v>35071.030806518625</v>
      </c>
      <c r="Z34" s="40" t="s">
        <v>86</v>
      </c>
      <c r="AA34">
        <v>0.6</v>
      </c>
      <c r="AB34" s="45">
        <f t="shared" si="22"/>
        <v>41.85</v>
      </c>
      <c r="AC34">
        <f t="shared" si="23"/>
        <v>8</v>
      </c>
      <c r="AD34">
        <f t="shared" si="8"/>
        <v>455.46609587816869</v>
      </c>
      <c r="AE34">
        <f t="shared" si="31"/>
        <v>33.72360149213381</v>
      </c>
      <c r="AF34">
        <f t="shared" si="24"/>
        <v>7295.9796275223507</v>
      </c>
      <c r="AH34" s="41" t="s">
        <v>125</v>
      </c>
      <c r="AI34">
        <v>0.215</v>
      </c>
      <c r="AJ34" s="45">
        <f t="shared" si="25"/>
        <v>32.921999999999997</v>
      </c>
      <c r="AK34">
        <f t="shared" si="26"/>
        <v>19.566975102181534</v>
      </c>
      <c r="AL34">
        <f t="shared" si="9"/>
        <v>250.68895958880751</v>
      </c>
      <c r="AM34">
        <f t="shared" si="32"/>
        <v>33.72360149213381</v>
      </c>
      <c r="AN34">
        <f t="shared" si="10"/>
        <v>4015.7139215340253</v>
      </c>
      <c r="AP34" s="41" t="s">
        <v>31</v>
      </c>
      <c r="AQ34">
        <v>0.67500000000000004</v>
      </c>
      <c r="AR34" s="45">
        <f t="shared" si="33"/>
        <v>26.507409170059191</v>
      </c>
      <c r="AS34">
        <f t="shared" si="34"/>
        <v>15</v>
      </c>
      <c r="AT34">
        <f t="shared" si="11"/>
        <v>386.98448149573386</v>
      </c>
      <c r="AU34">
        <f t="shared" si="35"/>
        <v>33.72360149213381</v>
      </c>
      <c r="AV34">
        <f t="shared" si="12"/>
        <v>6198.9924578610253</v>
      </c>
      <c r="AX34">
        <f>AX33+Calculations!$C$24</f>
        <v>6.2246799999999967</v>
      </c>
      <c r="AY34">
        <f t="shared" si="13"/>
        <v>22.844575599999988</v>
      </c>
      <c r="AZ34">
        <f t="shared" si="14"/>
        <v>198.56236776925391</v>
      </c>
      <c r="BA34">
        <f t="shared" si="27"/>
        <v>65.525581363853789</v>
      </c>
      <c r="BB34">
        <f t="shared" si="15"/>
        <v>264.08794913310771</v>
      </c>
      <c r="BC34">
        <f t="shared" si="16"/>
        <v>286.9325247331077</v>
      </c>
      <c r="BH34">
        <f t="shared" si="17"/>
        <v>202.34160895280286</v>
      </c>
      <c r="BI34" s="30">
        <f t="shared" si="36"/>
        <v>31.759901528343196</v>
      </c>
      <c r="BJ34" s="30">
        <f t="shared" si="37"/>
        <v>31.759901528343203</v>
      </c>
    </row>
    <row r="35" spans="1:62">
      <c r="J35" s="2"/>
      <c r="K35" s="2"/>
      <c r="R35" s="50"/>
    </row>
    <row r="36" spans="1:62">
      <c r="R36" s="5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252D4-15B9-194F-A31B-0994EE178486}">
  <dimension ref="A2:BK36"/>
  <sheetViews>
    <sheetView topLeftCell="AW1" workbookViewId="0">
      <selection activeCell="BF15" sqref="BF15"/>
    </sheetView>
  </sheetViews>
  <sheetFormatPr baseColWidth="10" defaultRowHeight="16"/>
  <cols>
    <col min="57" max="57" width="17.83203125" customWidth="1"/>
  </cols>
  <sheetData>
    <row r="2" spans="1:63">
      <c r="B2" s="44" t="s">
        <v>84</v>
      </c>
      <c r="C2">
        <v>0.1595973</v>
      </c>
      <c r="E2" t="s">
        <v>101</v>
      </c>
      <c r="F2">
        <v>0.47499999999999998</v>
      </c>
      <c r="H2" s="45" t="s">
        <v>102</v>
      </c>
      <c r="I2" s="46" t="s">
        <v>85</v>
      </c>
      <c r="K2" s="47"/>
    </row>
    <row r="3" spans="1:63" ht="80">
      <c r="A3" s="42" t="s">
        <v>1</v>
      </c>
      <c r="B3" s="42" t="s">
        <v>2</v>
      </c>
      <c r="C3" s="42" t="s">
        <v>6</v>
      </c>
      <c r="D3" s="42" t="s">
        <v>4</v>
      </c>
      <c r="E3" s="42" t="s">
        <v>5</v>
      </c>
      <c r="F3" s="42" t="s">
        <v>24</v>
      </c>
      <c r="G3" s="42" t="s">
        <v>7</v>
      </c>
      <c r="H3" s="42" t="s">
        <v>8</v>
      </c>
      <c r="I3" s="42"/>
      <c r="J3" s="42" t="s">
        <v>2</v>
      </c>
      <c r="K3" s="42" t="s">
        <v>6</v>
      </c>
      <c r="L3" s="42" t="s">
        <v>4</v>
      </c>
      <c r="M3" s="42" t="s">
        <v>5</v>
      </c>
      <c r="N3" s="42" t="s">
        <v>3</v>
      </c>
      <c r="O3" s="42" t="s">
        <v>7</v>
      </c>
      <c r="P3" s="42" t="s">
        <v>8</v>
      </c>
      <c r="Q3" s="42"/>
      <c r="R3" s="42" t="s">
        <v>2</v>
      </c>
      <c r="S3" s="42" t="s">
        <v>6</v>
      </c>
      <c r="T3" s="42" t="s">
        <v>4</v>
      </c>
      <c r="U3" s="42" t="s">
        <v>5</v>
      </c>
      <c r="V3" s="42" t="s">
        <v>3</v>
      </c>
      <c r="W3" s="42" t="s">
        <v>7</v>
      </c>
      <c r="X3" s="42" t="s">
        <v>8</v>
      </c>
      <c r="Y3" s="42"/>
      <c r="Z3" s="42" t="s">
        <v>2</v>
      </c>
      <c r="AA3" s="42" t="s">
        <v>6</v>
      </c>
      <c r="AB3" s="42" t="s">
        <v>4</v>
      </c>
      <c r="AC3" s="42" t="s">
        <v>5</v>
      </c>
      <c r="AD3" s="42" t="s">
        <v>3</v>
      </c>
      <c r="AE3" s="42" t="s">
        <v>7</v>
      </c>
      <c r="AF3" s="42" t="s">
        <v>8</v>
      </c>
      <c r="AG3" s="42"/>
      <c r="AH3" s="42" t="s">
        <v>2</v>
      </c>
      <c r="AI3" s="42" t="s">
        <v>6</v>
      </c>
      <c r="AJ3" s="42" t="s">
        <v>4</v>
      </c>
      <c r="AK3" s="42" t="s">
        <v>5</v>
      </c>
      <c r="AL3" s="42" t="s">
        <v>3</v>
      </c>
      <c r="AM3" s="42" t="s">
        <v>7</v>
      </c>
      <c r="AN3" s="42" t="s">
        <v>8</v>
      </c>
      <c r="AO3" s="42"/>
      <c r="AP3" s="42" t="s">
        <v>2</v>
      </c>
      <c r="AQ3" s="42" t="s">
        <v>6</v>
      </c>
      <c r="AR3" s="42" t="s">
        <v>4</v>
      </c>
      <c r="AS3" s="42" t="s">
        <v>5</v>
      </c>
      <c r="AT3" s="42" t="s">
        <v>3</v>
      </c>
      <c r="AU3" s="42" t="s">
        <v>7</v>
      </c>
      <c r="AV3" s="42" t="s">
        <v>8</v>
      </c>
      <c r="AW3" s="42"/>
      <c r="AX3" s="42" t="s">
        <v>13</v>
      </c>
      <c r="AY3" s="42" t="s">
        <v>14</v>
      </c>
      <c r="AZ3" s="42" t="s">
        <v>10</v>
      </c>
      <c r="BA3" s="42" t="s">
        <v>11</v>
      </c>
      <c r="BB3" s="42" t="s">
        <v>12</v>
      </c>
      <c r="BC3" s="42" t="s">
        <v>15</v>
      </c>
      <c r="BD3" s="42"/>
      <c r="BE3" s="42" t="s">
        <v>71</v>
      </c>
      <c r="BF3" s="42"/>
      <c r="BG3" s="42" t="s">
        <v>16</v>
      </c>
      <c r="BH3" s="42" t="s">
        <v>93</v>
      </c>
      <c r="BI3" s="42" t="s">
        <v>70</v>
      </c>
      <c r="BJ3" s="42" t="s">
        <v>92</v>
      </c>
      <c r="BK3" s="42"/>
    </row>
    <row r="4" spans="1:63">
      <c r="A4" s="39">
        <v>0</v>
      </c>
      <c r="B4" s="41" t="s">
        <v>106</v>
      </c>
      <c r="C4">
        <v>0.88100000000000001</v>
      </c>
      <c r="D4" s="45">
        <f>A4*0.7*0.93</f>
        <v>0</v>
      </c>
      <c r="E4">
        <v>0</v>
      </c>
      <c r="F4">
        <f>0.0673*(C4*D4^2*E4)^0.976</f>
        <v>0</v>
      </c>
      <c r="G4">
        <v>65</v>
      </c>
      <c r="H4">
        <f>F4*G4*$F$2</f>
        <v>0</v>
      </c>
      <c r="J4" s="40" t="s">
        <v>117</v>
      </c>
      <c r="K4">
        <v>0.36</v>
      </c>
      <c r="L4" s="45">
        <f>A4*0.5*0.93</f>
        <v>0</v>
      </c>
      <c r="M4">
        <f>IF(50.453*(1-EXP(-0.047*L4^(0.812)))&gt;10, 10, 50.453*(1-EXP(-0.047*L4^(0.812))))</f>
        <v>0</v>
      </c>
      <c r="N4">
        <f>0.0673*(K4*L4^2*M4)^0.976</f>
        <v>0</v>
      </c>
      <c r="O4">
        <v>65</v>
      </c>
      <c r="P4">
        <f>N4*O4*$F$2</f>
        <v>0</v>
      </c>
      <c r="R4" s="41" t="s">
        <v>111</v>
      </c>
      <c r="S4">
        <v>0.34</v>
      </c>
      <c r="T4" s="45">
        <f>A4*2.3*0.93</f>
        <v>0</v>
      </c>
      <c r="U4">
        <f>IF(50.453*(1-EXP(-0.047*T4^(0.812)))&gt;35, 35, 50.453*(1-EXP(-0.047*T4^(0.812))))</f>
        <v>0</v>
      </c>
      <c r="V4">
        <f>0.0673*(S4*T4^2*U4)^0.976</f>
        <v>0</v>
      </c>
      <c r="W4">
        <v>65</v>
      </c>
      <c r="X4">
        <f>V4*W4*$F$2</f>
        <v>0</v>
      </c>
      <c r="Z4" s="40" t="s">
        <v>86</v>
      </c>
      <c r="AA4">
        <v>0.6</v>
      </c>
      <c r="AB4" s="45">
        <f>A4*1.3*0.93</f>
        <v>0</v>
      </c>
      <c r="AC4">
        <v>0</v>
      </c>
      <c r="AD4">
        <f>0.0673*(AA4*AB4^2*AC4)^0.976</f>
        <v>0</v>
      </c>
      <c r="AE4">
        <v>65</v>
      </c>
      <c r="AF4">
        <f>AD4*AE4*$F$2</f>
        <v>0</v>
      </c>
      <c r="AH4" s="41" t="s">
        <v>125</v>
      </c>
      <c r="AI4">
        <v>0.215</v>
      </c>
      <c r="AJ4" s="45">
        <f>$A4*1*0.93</f>
        <v>0</v>
      </c>
      <c r="AK4">
        <f>IF(50.453*(1-EXP(-0.047*AJ4^(0.812)))&gt;25, 25, 50.453*(1-EXP(-0.047*AJ4^(0.812))))</f>
        <v>0</v>
      </c>
      <c r="AL4">
        <f>0.0673*(AI4*AJ4^2*AK4)^0.976</f>
        <v>0</v>
      </c>
      <c r="AM4">
        <v>65</v>
      </c>
      <c r="AN4">
        <f>AL4*AM4*$F$2</f>
        <v>0</v>
      </c>
      <c r="AP4" s="41" t="s">
        <v>31</v>
      </c>
      <c r="AQ4">
        <v>0.67500000000000004</v>
      </c>
      <c r="AR4" s="45">
        <f>$A4*1*0.93</f>
        <v>0</v>
      </c>
      <c r="AS4">
        <f>IF(50.453*(1-EXP(-0.047*AR4^(0.812)))&gt;25, 25, 50.453*(1-EXP(-0.047*AR4^(0.812))))</f>
        <v>0</v>
      </c>
      <c r="AT4">
        <f>0.0673*(AQ4*AR4^2*AS4)^0.976</f>
        <v>0</v>
      </c>
      <c r="AU4">
        <v>65</v>
      </c>
      <c r="AV4">
        <f>AT4*AU4*$F$2</f>
        <v>0</v>
      </c>
      <c r="AX4">
        <v>0</v>
      </c>
      <c r="AY4">
        <f>AX4*3.67</f>
        <v>0</v>
      </c>
      <c r="AZ4">
        <f>SUM(H4,P4,X4,AF4,AN4,AV4)*3.67/1000</f>
        <v>0</v>
      </c>
      <c r="BA4">
        <f>AZ4*0.235</f>
        <v>0</v>
      </c>
      <c r="BB4">
        <f>AZ4+BA4</f>
        <v>0</v>
      </c>
      <c r="BC4">
        <f>BB4+AY4</f>
        <v>0</v>
      </c>
      <c r="BE4">
        <v>6.37</v>
      </c>
      <c r="BG4">
        <f>SUM(AM34,AE34,W34,O34,G34,AU34)</f>
        <v>202.34160895280286</v>
      </c>
      <c r="BH4">
        <f>SUM(G4,O4,W4,AE4,AM4,AU4)</f>
        <v>390</v>
      </c>
      <c r="BI4">
        <f>AVERAGE(D4,L4,T4,AB4,AJ4)</f>
        <v>0</v>
      </c>
      <c r="BJ4">
        <f>SUM(D4*G4,L4*O4,T4*W4,AB4*AE4,AJ4*AM4)/BH4</f>
        <v>0</v>
      </c>
    </row>
    <row r="5" spans="1:63">
      <c r="A5" s="39">
        <v>1</v>
      </c>
      <c r="B5" s="41" t="s">
        <v>106</v>
      </c>
      <c r="C5">
        <v>0.88100000000000001</v>
      </c>
      <c r="D5" s="45">
        <f>A5*0.4*0.93</f>
        <v>0.37200000000000005</v>
      </c>
      <c r="E5">
        <f>IF(EXP(0.893-$C$2+0.76*LN(D5)-0.034*(LN(D5))^2)&gt;22.5, 22.5, EXP(0.893-$C$2+0.76*LN(D5)-0.034*(LN(D5))^2))</f>
        <v>0.9499187940711552</v>
      </c>
      <c r="F5">
        <f t="shared" ref="F5:F34" si="0">0.0673*(C5*D5^2*E5)^0.976</f>
        <v>8.2079249014313151E-3</v>
      </c>
      <c r="G5">
        <f>G4*0.6</f>
        <v>39</v>
      </c>
      <c r="H5">
        <f t="shared" ref="H5:H34" si="1">F5*G5*$F$2</f>
        <v>0.15205180879901509</v>
      </c>
      <c r="J5" s="40" t="s">
        <v>117</v>
      </c>
      <c r="K5">
        <v>0.36</v>
      </c>
      <c r="L5" s="45">
        <f t="shared" ref="L5:L34" si="2">A5*0.5*0.93</f>
        <v>0.46500000000000002</v>
      </c>
      <c r="M5">
        <f>IF(EXP(0.893-$C$2+0.76*LN(L5)-0.034*(LN(L5))^2)&gt;7, 7, EXP(0.893-$C$2+0.76*LN(L5)-0.034*(LN(L5))^2))</f>
        <v>1.140563119505174</v>
      </c>
      <c r="N5">
        <f t="shared" ref="N5:N33" si="3">0.0673*(K5*L5^2*M5)^0.976</f>
        <v>6.3326127303022966E-3</v>
      </c>
      <c r="O5">
        <f>O4*0.6</f>
        <v>39</v>
      </c>
      <c r="P5">
        <f t="shared" ref="P5:P33" si="4">N5*O5*$F$2</f>
        <v>0.11731165082885005</v>
      </c>
      <c r="R5" s="41" t="s">
        <v>111</v>
      </c>
      <c r="S5">
        <v>0.34</v>
      </c>
      <c r="T5" s="45">
        <f t="shared" ref="T5:T34" si="5">A5*2.3*0.93</f>
        <v>2.1389999999999998</v>
      </c>
      <c r="U5">
        <f>IF(50.453*(1-EXP(-0.047*T5^(0.812)))&gt;30, 30, 50.453*(1-EXP(-0.047*T5^(0.812))))</f>
        <v>4.2104712430511748</v>
      </c>
      <c r="V5">
        <f t="shared" ref="V5:V34" si="6">0.0673*(S5*T5^2*U5)^0.976</f>
        <v>0.42136330067889016</v>
      </c>
      <c r="W5">
        <f>W4*0.6</f>
        <v>39</v>
      </c>
      <c r="X5">
        <f t="shared" ref="X5:X34" si="7">V5*W5*$F$2</f>
        <v>7.8057551450764393</v>
      </c>
      <c r="Z5" s="40" t="s">
        <v>86</v>
      </c>
      <c r="AA5">
        <v>0.6</v>
      </c>
      <c r="AB5" s="45">
        <f>A5*1.5*0.93</f>
        <v>1.395</v>
      </c>
      <c r="AC5">
        <f>IF(EXP(0.893-$C$2+0.76*LN(AB5)-0.034*(LN(AB5))^2)&gt;8, 8, EXP(0.893-$C$2+0.76*LN(AB5)-0.034*(LN(AB5))^2))</f>
        <v>2.6714853272901968</v>
      </c>
      <c r="AD5">
        <f t="shared" ref="AD5:AD34" si="8">0.0673*(AA5*AB5^2*AC5)^0.976</f>
        <v>0.20427266931826618</v>
      </c>
      <c r="AE5">
        <f>AE4*0.6</f>
        <v>39</v>
      </c>
      <c r="AF5">
        <f>AD5*AE5*$F$2</f>
        <v>3.7841511991208807</v>
      </c>
      <c r="AH5" s="41" t="s">
        <v>125</v>
      </c>
      <c r="AI5">
        <v>0.215</v>
      </c>
      <c r="AJ5" s="45">
        <f>$A5*1.18*0.93</f>
        <v>1.0973999999999999</v>
      </c>
      <c r="AK5">
        <f>IF(EXP(0.893-$C$2+0.76*LN(AJ5)-0.034*(LN(AJ5))^2)&gt;20, 20, EXP(0.893-$C$2+0.76*LN(AJ5)-0.034*(LN(AJ5))^2))</f>
        <v>2.2338939672398963</v>
      </c>
      <c r="AL5">
        <f t="shared" ref="AL5:AL34" si="9">0.0673*(AI5*AJ5^2*AK5)^0.976</f>
        <v>3.9441411513377919E-2</v>
      </c>
      <c r="AM5">
        <f>AM4*0.6</f>
        <v>39</v>
      </c>
      <c r="AN5">
        <f t="shared" ref="AN5:AN34" si="10">AL5*AM5*$F$2</f>
        <v>0.73065214828532588</v>
      </c>
      <c r="AP5" s="41" t="s">
        <v>31</v>
      </c>
      <c r="AQ5">
        <v>0.67500000000000004</v>
      </c>
      <c r="AR5" s="45">
        <f>AR6/2</f>
        <v>0.22305446636195617</v>
      </c>
      <c r="AS5">
        <f>IF(EXP(0.893-$C$2+0.76*LN(AR5)-0.034*(LN(AR5))^2)&gt;20, 20, EXP(0.893-$C$2+0.76*LN(AR5)-0.034*(LN(AR5))^2))</f>
        <v>0.61668940642705572</v>
      </c>
      <c r="AT5">
        <f t="shared" ref="AT5:AT34" si="11">0.0673*(AQ5*AR5^2*AS5)^0.976</f>
        <v>1.5297433086999728E-3</v>
      </c>
      <c r="AU5">
        <f>AU4*0.6</f>
        <v>39</v>
      </c>
      <c r="AV5">
        <f t="shared" ref="AV5:AV34" si="12">AT5*AU5*$F$2</f>
        <v>2.8338494793666992E-2</v>
      </c>
      <c r="AX5">
        <f>AX4+0.8</f>
        <v>0.8</v>
      </c>
      <c r="AY5">
        <f t="shared" ref="AY5:AY34" si="13">AX5*3.67</f>
        <v>2.9359999999999999</v>
      </c>
      <c r="AZ5">
        <f t="shared" ref="AZ5:AZ34" si="14">SUM(H5,P5,X5,AF5,AN5,AV5)*3.67/1000</f>
        <v>4.6309015840138336E-2</v>
      </c>
      <c r="BA5">
        <f t="shared" ref="BA5:BA33" si="15">AZ5*0.235</f>
        <v>1.0882618722432508E-2</v>
      </c>
      <c r="BB5">
        <f t="shared" ref="BB5:BB34" si="16">AZ5+BA5</f>
        <v>5.7191634562570842E-2</v>
      </c>
      <c r="BC5">
        <f t="shared" ref="BC5:BC34" si="17">BB5+AY5</f>
        <v>2.9931916345625709</v>
      </c>
      <c r="BH5">
        <f t="shared" ref="BH5:BH34" si="18">SUM(G5,O5,W5,AE5,AM5,AU5)</f>
        <v>234</v>
      </c>
      <c r="BI5">
        <f>AVERAGE(D5,L5,T5,AB5,AJ5)</f>
        <v>1.0936800000000002</v>
      </c>
      <c r="BJ5">
        <f>SUM(D5*G5,L5*O5,T5*W5,AB5*AE5,AJ5*AM5)/BH5</f>
        <v>0.91139999999999999</v>
      </c>
    </row>
    <row r="6" spans="1:63" ht="19">
      <c r="A6" s="39">
        <v>2</v>
      </c>
      <c r="B6" s="41" t="s">
        <v>106</v>
      </c>
      <c r="C6">
        <v>0.88100000000000001</v>
      </c>
      <c r="D6" s="45">
        <f t="shared" ref="D6:D34" si="19">A6*0.4*0.93</f>
        <v>0.74400000000000011</v>
      </c>
      <c r="E6">
        <f t="shared" ref="E6:E34" si="20">IF(EXP(0.893-$C$2+0.76*LN(D6)-0.034*(LN(D6))^2)&gt;22.5, 22.5, EXP(0.893-$C$2+0.76*LN(D6)-0.034*(LN(D6))^2))</f>
        <v>1.6581237289719131</v>
      </c>
      <c r="F6">
        <f t="shared" si="0"/>
        <v>5.4697572048358387E-2</v>
      </c>
      <c r="G6">
        <f>G5*0.995</f>
        <v>38.805</v>
      </c>
      <c r="H6">
        <f t="shared" si="1"/>
        <v>1.0082061595848599</v>
      </c>
      <c r="J6" s="40" t="s">
        <v>117</v>
      </c>
      <c r="K6">
        <v>0.36</v>
      </c>
      <c r="L6" s="45">
        <f t="shared" si="2"/>
        <v>0.93</v>
      </c>
      <c r="M6">
        <f t="shared" ref="M6:M34" si="21">IF(EXP(0.893-$C$2+0.76*LN(L6)-0.034*(LN(L6))^2)&gt;7, 7, EXP(0.893-$C$2+0.76*LN(L6)-0.034*(LN(L6))^2))</f>
        <v>1.9700716492376908</v>
      </c>
      <c r="N6">
        <f t="shared" si="3"/>
        <v>4.1769518916899138E-2</v>
      </c>
      <c r="O6">
        <f>O5*0.995</f>
        <v>38.805</v>
      </c>
      <c r="P6">
        <f t="shared" si="4"/>
        <v>0.76991143624587866</v>
      </c>
      <c r="R6" s="41" t="s">
        <v>111</v>
      </c>
      <c r="S6">
        <v>0.34</v>
      </c>
      <c r="T6" s="45">
        <f t="shared" si="5"/>
        <v>4.2779999999999996</v>
      </c>
      <c r="U6">
        <f t="shared" ref="U6:U34" si="22">IF(50.453*(1-EXP(-0.047*T6^(0.812)))&gt;30, 30, 50.453*(1-EXP(-0.047*T6^(0.812))))</f>
        <v>7.1573836800950836</v>
      </c>
      <c r="V6">
        <f t="shared" si="6"/>
        <v>2.7362809432139472</v>
      </c>
      <c r="W6">
        <f>W5*0.995</f>
        <v>38.805</v>
      </c>
      <c r="X6">
        <f t="shared" si="7"/>
        <v>50.436156450673174</v>
      </c>
      <c r="Z6" s="40" t="s">
        <v>86</v>
      </c>
      <c r="AA6">
        <v>0.6</v>
      </c>
      <c r="AB6" s="45">
        <f t="shared" ref="AB6:AB34" si="23">A6*1.5*0.93</f>
        <v>2.79</v>
      </c>
      <c r="AC6">
        <f t="shared" ref="AC6:AC34" si="24">IF(EXP(0.893-$C$2+0.76*LN(AB6)-0.034*(LN(AB6))^2)&gt;8, 8, EXP(0.893-$C$2+0.76*LN(AB6)-0.034*(LN(AB6))^2))</f>
        <v>4.3815407271194626</v>
      </c>
      <c r="AD6">
        <f t="shared" si="8"/>
        <v>1.2809668705659905</v>
      </c>
      <c r="AE6">
        <f>AE5*0.995</f>
        <v>38.805</v>
      </c>
      <c r="AF6">
        <f t="shared" ref="AF6:AF34" si="25">AD6*AE6*$F$2</f>
        <v>23.611261720848798</v>
      </c>
      <c r="AH6" s="41" t="s">
        <v>125</v>
      </c>
      <c r="AI6">
        <v>0.215</v>
      </c>
      <c r="AJ6" s="45">
        <f t="shared" ref="AJ6:AJ34" si="26">$A6*1.18*0.93</f>
        <v>2.1947999999999999</v>
      </c>
      <c r="AK6">
        <f t="shared" ref="AK6:AK34" si="27">IF(EXP(0.893-$C$2+0.76*LN(AJ6)-0.034*(LN(AJ6))^2)&gt;20, 20, EXP(0.893-$C$2+0.76*LN(AJ6)-0.034*(LN(AJ6))^2))</f>
        <v>3.7055136266306965</v>
      </c>
      <c r="AL6">
        <f t="shared" si="9"/>
        <v>0.25007714304863821</v>
      </c>
      <c r="AM6">
        <f>AM5*0.995</f>
        <v>38.805</v>
      </c>
      <c r="AN6">
        <f t="shared" si="10"/>
        <v>4.6095156796011425</v>
      </c>
      <c r="AP6" s="41" t="s">
        <v>31</v>
      </c>
      <c r="AQ6">
        <v>0.67500000000000004</v>
      </c>
      <c r="AR6" s="45">
        <f>(10.348*LN(A6)-6.693)*0.93</f>
        <v>0.44610893272391233</v>
      </c>
      <c r="AS6">
        <f>IF(EXP(0.893-$C$2+0.76*LN(AR6)-0.034*(LN(AR6))^2)&gt;15, 15, EXP(0.893-$C$2+0.76*LN(AR6)-0.034*(LN(AR6))^2))</f>
        <v>1.1027242229265279</v>
      </c>
      <c r="AT6">
        <f t="shared" si="11"/>
        <v>1.0436909796128178E-2</v>
      </c>
      <c r="AU6">
        <f>AU5*0.995</f>
        <v>38.805</v>
      </c>
      <c r="AV6">
        <f t="shared" si="12"/>
        <v>0.19237703520340813</v>
      </c>
      <c r="AX6">
        <f t="shared" ref="AX6:AX34" si="28">AX5+0.8</f>
        <v>1.6</v>
      </c>
      <c r="AY6">
        <f t="shared" si="13"/>
        <v>5.8719999999999999</v>
      </c>
      <c r="AZ6">
        <f t="shared" si="14"/>
        <v>0.29590266252951708</v>
      </c>
      <c r="BA6">
        <f t="shared" si="15"/>
        <v>6.9537125694436513E-2</v>
      </c>
      <c r="BB6">
        <f t="shared" si="16"/>
        <v>0.36543978822395362</v>
      </c>
      <c r="BC6">
        <f t="shared" si="17"/>
        <v>6.2374397882239538</v>
      </c>
      <c r="BE6" s="38" t="s">
        <v>17</v>
      </c>
      <c r="BH6">
        <f t="shared" si="18"/>
        <v>232.83</v>
      </c>
      <c r="BI6">
        <f>AVERAGE(D6,L6,T6,AB6,AJ6,AR6)</f>
        <v>1.8971514887873191</v>
      </c>
      <c r="BJ6">
        <f>SUM(D6*G6,L6*O6,T6*W6,AB6*AE6,AJ6*AM6,AR6*AU6)/BH6</f>
        <v>1.8971514887873184</v>
      </c>
    </row>
    <row r="7" spans="1:63">
      <c r="A7" s="39">
        <v>3</v>
      </c>
      <c r="B7" s="41" t="s">
        <v>106</v>
      </c>
      <c r="C7">
        <v>0.88100000000000001</v>
      </c>
      <c r="D7" s="45">
        <f t="shared" si="19"/>
        <v>1.1160000000000003</v>
      </c>
      <c r="E7">
        <f t="shared" si="20"/>
        <v>2.2623493710319655</v>
      </c>
      <c r="F7">
        <f t="shared" si="0"/>
        <v>0.1634565392682753</v>
      </c>
      <c r="G7">
        <f t="shared" ref="G7:G34" si="29">G6*0.995</f>
        <v>38.610974999999996</v>
      </c>
      <c r="H7">
        <f t="shared" si="1"/>
        <v>2.9978277668550999</v>
      </c>
      <c r="J7" s="40" t="s">
        <v>117</v>
      </c>
      <c r="K7">
        <v>0.36</v>
      </c>
      <c r="L7" s="45">
        <f t="shared" si="2"/>
        <v>1.395</v>
      </c>
      <c r="M7">
        <f t="shared" si="21"/>
        <v>2.6714853272901968</v>
      </c>
      <c r="N7">
        <f t="shared" si="3"/>
        <v>0.12407545726766706</v>
      </c>
      <c r="O7">
        <f t="shared" ref="O7:O34" si="30">O6*0.995</f>
        <v>38.610974999999996</v>
      </c>
      <c r="P7">
        <f t="shared" si="4"/>
        <v>2.2755703298708436</v>
      </c>
      <c r="R7" s="41" t="s">
        <v>111</v>
      </c>
      <c r="S7">
        <v>0.34</v>
      </c>
      <c r="T7" s="45">
        <f t="shared" si="5"/>
        <v>6.4169999999999998</v>
      </c>
      <c r="U7">
        <f t="shared" si="22"/>
        <v>9.6645471786157255</v>
      </c>
      <c r="V7">
        <f t="shared" si="6"/>
        <v>8.0944581528538482</v>
      </c>
      <c r="W7">
        <f t="shared" ref="W7:W34" si="31">W6*0.995</f>
        <v>38.610974999999996</v>
      </c>
      <c r="X7">
        <f t="shared" si="7"/>
        <v>148.45408765473337</v>
      </c>
      <c r="Z7" s="40" t="s">
        <v>86</v>
      </c>
      <c r="AA7">
        <v>0.6</v>
      </c>
      <c r="AB7" s="45">
        <f t="shared" si="23"/>
        <v>4.1850000000000005</v>
      </c>
      <c r="AC7">
        <f t="shared" si="24"/>
        <v>5.7642474410442812</v>
      </c>
      <c r="AD7">
        <f t="shared" si="8"/>
        <v>3.6942392628326388</v>
      </c>
      <c r="AE7">
        <f t="shared" ref="AE7:AE34" si="32">AE6*0.995</f>
        <v>38.610974999999996</v>
      </c>
      <c r="AF7">
        <f t="shared" si="25"/>
        <v>67.753135415093467</v>
      </c>
      <c r="AH7" s="41" t="s">
        <v>125</v>
      </c>
      <c r="AI7">
        <v>0.215</v>
      </c>
      <c r="AJ7" s="45">
        <f t="shared" si="26"/>
        <v>3.2922000000000002</v>
      </c>
      <c r="AK7">
        <f t="shared" si="27"/>
        <v>4.9072410983632349</v>
      </c>
      <c r="AL7">
        <f t="shared" si="9"/>
        <v>0.72588092259061243</v>
      </c>
      <c r="AM7">
        <f t="shared" ref="AM7:AM34" si="33">AM6*0.995</f>
        <v>38.610974999999996</v>
      </c>
      <c r="AN7">
        <f t="shared" si="10"/>
        <v>13.312810823683458</v>
      </c>
      <c r="AP7" s="41" t="s">
        <v>31</v>
      </c>
      <c r="AQ7">
        <v>0.67500000000000004</v>
      </c>
      <c r="AR7" s="45">
        <f t="shared" ref="AR7:AR34" si="34">(10.348*LN(A7)-6.693)*0.93</f>
        <v>4.348159165717969</v>
      </c>
      <c r="AS7">
        <f t="shared" ref="AS7:AS34" si="35">IF(EXP(0.893-$C$2+0.76*LN(AR7)-0.034*(LN(AR7))^2)&gt;15, 15, EXP(0.893-$C$2+0.76*LN(AR7)-0.034*(LN(AR7))^2))</f>
        <v>5.9119089797493611</v>
      </c>
      <c r="AT7">
        <f t="shared" si="11"/>
        <v>4.5771381984028379</v>
      </c>
      <c r="AU7">
        <f t="shared" ref="AU7:AU34" si="36">AU6*0.995</f>
        <v>38.610974999999996</v>
      </c>
      <c r="AV7">
        <f t="shared" si="12"/>
        <v>83.94569006128657</v>
      </c>
      <c r="AX7">
        <f t="shared" si="28"/>
        <v>2.4000000000000004</v>
      </c>
      <c r="AY7">
        <f t="shared" si="13"/>
        <v>8.8080000000000016</v>
      </c>
      <c r="AZ7">
        <f t="shared" si="14"/>
        <v>1.1697725779290888</v>
      </c>
      <c r="BA7">
        <f t="shared" si="15"/>
        <v>0.27489655581333589</v>
      </c>
      <c r="BB7">
        <f t="shared" si="16"/>
        <v>1.4446691337424247</v>
      </c>
      <c r="BC7">
        <f t="shared" si="17"/>
        <v>10.252669133742426</v>
      </c>
      <c r="BE7">
        <f>BC34*BE4</f>
        <v>2123.1498191223327</v>
      </c>
      <c r="BH7">
        <f t="shared" si="18"/>
        <v>231.66584999999998</v>
      </c>
      <c r="BI7">
        <f t="shared" ref="BI7:BI34" si="37">AVERAGE(D7,L7,T7,AB7,AJ7,AR7)</f>
        <v>3.4588931942863286</v>
      </c>
      <c r="BJ7">
        <f t="shared" ref="BJ7:BJ34" si="38">SUM(D7*G7,L7*O7,T7*W7,AB7*AE7,AJ7*AM7,AR7*AU7)/BH7</f>
        <v>3.4588931942863286</v>
      </c>
    </row>
    <row r="8" spans="1:63">
      <c r="A8" s="39">
        <v>4</v>
      </c>
      <c r="B8" s="41" t="s">
        <v>106</v>
      </c>
      <c r="C8">
        <v>0.88100000000000001</v>
      </c>
      <c r="D8" s="45">
        <f t="shared" si="19"/>
        <v>1.4880000000000002</v>
      </c>
      <c r="E8">
        <f t="shared" si="20"/>
        <v>2.8012936595447586</v>
      </c>
      <c r="F8">
        <f t="shared" si="0"/>
        <v>0.35306486688690963</v>
      </c>
      <c r="G8">
        <f t="shared" si="29"/>
        <v>38.417920124999995</v>
      </c>
      <c r="H8">
        <f t="shared" si="1"/>
        <v>6.4429084811273984</v>
      </c>
      <c r="J8" s="40" t="s">
        <v>117</v>
      </c>
      <c r="K8">
        <v>0.36</v>
      </c>
      <c r="L8" s="45">
        <f t="shared" si="2"/>
        <v>1.86</v>
      </c>
      <c r="M8">
        <f t="shared" si="21"/>
        <v>3.2934871077857624</v>
      </c>
      <c r="N8">
        <f t="shared" si="3"/>
        <v>0.26686265139593196</v>
      </c>
      <c r="O8">
        <f t="shared" si="30"/>
        <v>38.417920124999995</v>
      </c>
      <c r="P8">
        <f t="shared" si="4"/>
        <v>4.8698463121954507</v>
      </c>
      <c r="R8" s="41" t="s">
        <v>111</v>
      </c>
      <c r="S8">
        <v>0.34</v>
      </c>
      <c r="T8" s="45">
        <f t="shared" si="5"/>
        <v>8.5559999999999992</v>
      </c>
      <c r="U8">
        <f t="shared" si="22"/>
        <v>11.884153807682253</v>
      </c>
      <c r="V8">
        <f t="shared" si="6"/>
        <v>17.366010824716177</v>
      </c>
      <c r="W8">
        <f t="shared" si="31"/>
        <v>38.417920124999995</v>
      </c>
      <c r="X8">
        <f t="shared" si="7"/>
        <v>316.90385795806992</v>
      </c>
      <c r="Z8" s="40" t="s">
        <v>86</v>
      </c>
      <c r="AA8">
        <v>0.6</v>
      </c>
      <c r="AB8" s="45">
        <f t="shared" si="23"/>
        <v>5.58</v>
      </c>
      <c r="AC8">
        <f t="shared" si="24"/>
        <v>6.9552406681794228</v>
      </c>
      <c r="AD8">
        <f t="shared" si="8"/>
        <v>7.7806756470081506</v>
      </c>
      <c r="AE8">
        <f t="shared" si="32"/>
        <v>38.417920124999995</v>
      </c>
      <c r="AF8">
        <f t="shared" si="25"/>
        <v>141.98575337451359</v>
      </c>
      <c r="AH8" s="41" t="s">
        <v>125</v>
      </c>
      <c r="AI8">
        <v>0.215</v>
      </c>
      <c r="AJ8" s="45">
        <f t="shared" si="26"/>
        <v>4.3895999999999997</v>
      </c>
      <c r="AK8">
        <f t="shared" si="27"/>
        <v>5.9490212982485922</v>
      </c>
      <c r="AL8">
        <f t="shared" si="9"/>
        <v>1.5358447913685263</v>
      </c>
      <c r="AM8">
        <f t="shared" si="33"/>
        <v>38.417920124999995</v>
      </c>
      <c r="AN8">
        <f t="shared" si="10"/>
        <v>28.026882196616828</v>
      </c>
      <c r="AP8" s="41" t="s">
        <v>31</v>
      </c>
      <c r="AQ8">
        <v>0.67500000000000004</v>
      </c>
      <c r="AR8" s="45">
        <f t="shared" si="34"/>
        <v>7.1167078654478244</v>
      </c>
      <c r="AS8">
        <f t="shared" si="35"/>
        <v>8.1166749187898439</v>
      </c>
      <c r="AT8">
        <f t="shared" si="11"/>
        <v>16.316142969166702</v>
      </c>
      <c r="AU8">
        <f t="shared" si="36"/>
        <v>38.417920124999995</v>
      </c>
      <c r="AV8">
        <f t="shared" si="12"/>
        <v>297.74533173532512</v>
      </c>
      <c r="AX8">
        <f t="shared" si="28"/>
        <v>3.2</v>
      </c>
      <c r="AY8">
        <f t="shared" si="13"/>
        <v>11.744</v>
      </c>
      <c r="AZ8">
        <f t="shared" si="14"/>
        <v>2.921226708812303</v>
      </c>
      <c r="BA8">
        <f t="shared" si="15"/>
        <v>0.68648827657089118</v>
      </c>
      <c r="BB8">
        <f t="shared" si="16"/>
        <v>3.6077149853831942</v>
      </c>
      <c r="BC8">
        <f t="shared" si="17"/>
        <v>15.351714985383193</v>
      </c>
      <c r="BH8">
        <f t="shared" si="18"/>
        <v>230.50752074999997</v>
      </c>
      <c r="BI8">
        <f t="shared" si="37"/>
        <v>4.8317179775746384</v>
      </c>
      <c r="BJ8">
        <f t="shared" si="38"/>
        <v>4.8317179775746375</v>
      </c>
    </row>
    <row r="9" spans="1:63" ht="19">
      <c r="A9" s="39">
        <v>5</v>
      </c>
      <c r="B9" s="41" t="s">
        <v>106</v>
      </c>
      <c r="C9">
        <v>0.88100000000000001</v>
      </c>
      <c r="D9" s="45">
        <f t="shared" si="19"/>
        <v>1.86</v>
      </c>
      <c r="E9">
        <f t="shared" si="20"/>
        <v>3.2934871077857624</v>
      </c>
      <c r="F9">
        <f t="shared" si="0"/>
        <v>0.63919451924317272</v>
      </c>
      <c r="G9">
        <f t="shared" si="29"/>
        <v>38.225830524374992</v>
      </c>
      <c r="H9">
        <f t="shared" si="1"/>
        <v>11.606027148231963</v>
      </c>
      <c r="J9" s="40" t="s">
        <v>117</v>
      </c>
      <c r="K9">
        <v>0.36</v>
      </c>
      <c r="L9" s="45">
        <f t="shared" si="2"/>
        <v>2.3250000000000002</v>
      </c>
      <c r="M9">
        <f t="shared" si="21"/>
        <v>3.8590713457318873</v>
      </c>
      <c r="N9">
        <f t="shared" si="3"/>
        <v>0.48153863559707399</v>
      </c>
      <c r="O9">
        <f t="shared" si="30"/>
        <v>38.225830524374992</v>
      </c>
      <c r="P9">
        <f t="shared" si="4"/>
        <v>8.7434267807544437</v>
      </c>
      <c r="R9" s="41" t="s">
        <v>111</v>
      </c>
      <c r="S9">
        <v>0.34</v>
      </c>
      <c r="T9" s="45">
        <f t="shared" si="5"/>
        <v>10.695</v>
      </c>
      <c r="U9">
        <f t="shared" si="22"/>
        <v>13.888088633273965</v>
      </c>
      <c r="V9">
        <f t="shared" si="6"/>
        <v>31.254923999090892</v>
      </c>
      <c r="W9">
        <f t="shared" si="31"/>
        <v>38.225830524374992</v>
      </c>
      <c r="X9">
        <f t="shared" si="7"/>
        <v>567.50407822469776</v>
      </c>
      <c r="Z9" s="40" t="s">
        <v>86</v>
      </c>
      <c r="AA9">
        <v>0.6</v>
      </c>
      <c r="AB9" s="45">
        <f t="shared" si="23"/>
        <v>6.9750000000000005</v>
      </c>
      <c r="AC9">
        <f t="shared" si="24"/>
        <v>8</v>
      </c>
      <c r="AD9">
        <f t="shared" si="8"/>
        <v>13.788112353116588</v>
      </c>
      <c r="AE9">
        <f t="shared" si="32"/>
        <v>38.225830524374992</v>
      </c>
      <c r="AF9">
        <f t="shared" si="25"/>
        <v>250.35447187910606</v>
      </c>
      <c r="AH9" s="41" t="s">
        <v>125</v>
      </c>
      <c r="AI9">
        <v>0.215</v>
      </c>
      <c r="AJ9" s="45">
        <f t="shared" si="26"/>
        <v>5.4870000000000001</v>
      </c>
      <c r="AK9">
        <f t="shared" si="27"/>
        <v>6.8804031499619134</v>
      </c>
      <c r="AL9">
        <f t="shared" si="9"/>
        <v>2.7363270024686415</v>
      </c>
      <c r="AM9">
        <f t="shared" si="33"/>
        <v>38.225830524374992</v>
      </c>
      <c r="AN9">
        <f t="shared" si="10"/>
        <v>49.684226821427721</v>
      </c>
      <c r="AP9" s="41" t="s">
        <v>31</v>
      </c>
      <c r="AQ9">
        <v>0.67500000000000004</v>
      </c>
      <c r="AR9" s="45">
        <f t="shared" si="34"/>
        <v>9.2641610716173055</v>
      </c>
      <c r="AS9">
        <f t="shared" si="35"/>
        <v>9.5523139450916581</v>
      </c>
      <c r="AT9">
        <f t="shared" si="11"/>
        <v>32.004203989489582</v>
      </c>
      <c r="AU9">
        <f t="shared" si="36"/>
        <v>38.225830524374992</v>
      </c>
      <c r="AV9">
        <f t="shared" si="12"/>
        <v>581.10895694063345</v>
      </c>
      <c r="AX9">
        <f t="shared" si="28"/>
        <v>4</v>
      </c>
      <c r="AY9">
        <f t="shared" si="13"/>
        <v>14.68</v>
      </c>
      <c r="AZ9">
        <f t="shared" si="14"/>
        <v>5.3912343592071048</v>
      </c>
      <c r="BA9">
        <f t="shared" si="15"/>
        <v>1.2669400744136696</v>
      </c>
      <c r="BB9">
        <f t="shared" si="16"/>
        <v>6.6581744336207747</v>
      </c>
      <c r="BC9">
        <f t="shared" si="17"/>
        <v>21.338174433620775</v>
      </c>
      <c r="BE9" s="38" t="s">
        <v>30</v>
      </c>
      <c r="BF9" s="1" t="s">
        <v>32</v>
      </c>
      <c r="BH9">
        <f t="shared" si="18"/>
        <v>229.35498314624996</v>
      </c>
      <c r="BI9" s="30">
        <f t="shared" si="37"/>
        <v>6.1010268452695513</v>
      </c>
      <c r="BJ9" s="30">
        <f t="shared" si="38"/>
        <v>6.1010268452695513</v>
      </c>
    </row>
    <row r="10" spans="1:63">
      <c r="A10" s="39">
        <v>6</v>
      </c>
      <c r="B10" s="41" t="s">
        <v>106</v>
      </c>
      <c r="C10">
        <v>0.88100000000000001</v>
      </c>
      <c r="D10" s="45">
        <f t="shared" si="19"/>
        <v>2.2320000000000007</v>
      </c>
      <c r="E10">
        <f t="shared" si="20"/>
        <v>3.7497428888488944</v>
      </c>
      <c r="F10">
        <f t="shared" si="0"/>
        <v>1.0355905163997319</v>
      </c>
      <c r="G10">
        <f t="shared" si="29"/>
        <v>38.034701371753115</v>
      </c>
      <c r="H10">
        <f t="shared" si="1"/>
        <v>18.709478616474613</v>
      </c>
      <c r="J10" s="40" t="s">
        <v>117</v>
      </c>
      <c r="K10">
        <v>0.36</v>
      </c>
      <c r="L10" s="45">
        <f t="shared" si="2"/>
        <v>2.79</v>
      </c>
      <c r="M10">
        <f t="shared" si="21"/>
        <v>4.3815407271194626</v>
      </c>
      <c r="N10">
        <f t="shared" si="3"/>
        <v>0.77806076917013944</v>
      </c>
      <c r="O10">
        <f t="shared" si="30"/>
        <v>38.034701371753115</v>
      </c>
      <c r="P10">
        <f t="shared" si="4"/>
        <v>14.056821777119822</v>
      </c>
      <c r="R10" s="41" t="s">
        <v>111</v>
      </c>
      <c r="S10">
        <v>0.34</v>
      </c>
      <c r="T10" s="45">
        <f t="shared" si="5"/>
        <v>12.834</v>
      </c>
      <c r="U10">
        <f t="shared" si="22"/>
        <v>15.719085960197528</v>
      </c>
      <c r="V10">
        <f t="shared" si="6"/>
        <v>50.347071397467879</v>
      </c>
      <c r="W10">
        <f t="shared" si="31"/>
        <v>38.034701371753115</v>
      </c>
      <c r="X10">
        <f t="shared" si="7"/>
        <v>909.59451713388614</v>
      </c>
      <c r="Z10" s="40" t="s">
        <v>86</v>
      </c>
      <c r="AA10">
        <v>0.6</v>
      </c>
      <c r="AB10" s="45">
        <f t="shared" si="23"/>
        <v>8.370000000000001</v>
      </c>
      <c r="AC10">
        <f t="shared" si="24"/>
        <v>8</v>
      </c>
      <c r="AD10">
        <f t="shared" si="8"/>
        <v>19.681881192373996</v>
      </c>
      <c r="AE10">
        <f t="shared" si="32"/>
        <v>38.034701371753115</v>
      </c>
      <c r="AF10">
        <f t="shared" si="25"/>
        <v>355.58237495347777</v>
      </c>
      <c r="AH10" s="41" t="s">
        <v>125</v>
      </c>
      <c r="AI10">
        <v>0.215</v>
      </c>
      <c r="AJ10" s="45">
        <f t="shared" si="26"/>
        <v>6.5844000000000005</v>
      </c>
      <c r="AK10">
        <f t="shared" si="27"/>
        <v>7.7292012974714499</v>
      </c>
      <c r="AL10">
        <f t="shared" si="9"/>
        <v>4.375604123787765</v>
      </c>
      <c r="AM10">
        <f t="shared" si="33"/>
        <v>38.034701371753115</v>
      </c>
      <c r="AN10">
        <f t="shared" si="10"/>
        <v>79.051778180407567</v>
      </c>
      <c r="AP10" s="41" t="s">
        <v>31</v>
      </c>
      <c r="AQ10">
        <v>0.67500000000000004</v>
      </c>
      <c r="AR10" s="45">
        <f t="shared" si="34"/>
        <v>11.01875809844188</v>
      </c>
      <c r="AS10">
        <f t="shared" si="35"/>
        <v>10.604977206399607</v>
      </c>
      <c r="AT10">
        <f t="shared" si="11"/>
        <v>49.722846479612748</v>
      </c>
      <c r="AU10">
        <f t="shared" si="36"/>
        <v>38.034701371753115</v>
      </c>
      <c r="AV10">
        <f t="shared" si="12"/>
        <v>898.31696817265833</v>
      </c>
      <c r="AX10">
        <f t="shared" si="28"/>
        <v>4.8</v>
      </c>
      <c r="AY10">
        <f t="shared" si="13"/>
        <v>17.616</v>
      </c>
      <c r="AZ10">
        <f t="shared" si="14"/>
        <v>8.3503948155208683</v>
      </c>
      <c r="BA10">
        <f t="shared" si="15"/>
        <v>1.9623427816474039</v>
      </c>
      <c r="BB10">
        <f t="shared" si="16"/>
        <v>10.312737597168272</v>
      </c>
      <c r="BC10">
        <f t="shared" si="17"/>
        <v>27.928737597168272</v>
      </c>
      <c r="BE10">
        <f>BE7*0.2</f>
        <v>424.62996382446659</v>
      </c>
      <c r="BF10">
        <f>BE10/BE4</f>
        <v>66.660904839005738</v>
      </c>
      <c r="BH10">
        <f t="shared" si="18"/>
        <v>228.20820823051866</v>
      </c>
      <c r="BI10">
        <f t="shared" si="37"/>
        <v>7.304859683073647</v>
      </c>
      <c r="BJ10">
        <f t="shared" si="38"/>
        <v>7.3048596830736479</v>
      </c>
    </row>
    <row r="11" spans="1:63">
      <c r="A11" s="39">
        <v>7</v>
      </c>
      <c r="B11" s="41" t="s">
        <v>106</v>
      </c>
      <c r="C11">
        <v>0.88100000000000001</v>
      </c>
      <c r="D11" s="45">
        <f t="shared" si="19"/>
        <v>2.6040000000000005</v>
      </c>
      <c r="E11">
        <f t="shared" si="20"/>
        <v>4.1771019539693732</v>
      </c>
      <c r="F11">
        <f t="shared" si="0"/>
        <v>1.5545933920240871</v>
      </c>
      <c r="G11">
        <f t="shared" si="29"/>
        <v>37.844527864894353</v>
      </c>
      <c r="H11">
        <f t="shared" si="1"/>
        <v>27.945605147942192</v>
      </c>
      <c r="J11" s="40" t="s">
        <v>117</v>
      </c>
      <c r="K11">
        <v>0.36</v>
      </c>
      <c r="L11" s="45">
        <f t="shared" si="2"/>
        <v>3.2550000000000003</v>
      </c>
      <c r="M11">
        <f t="shared" si="21"/>
        <v>4.8695026179749386</v>
      </c>
      <c r="N11">
        <f t="shared" si="3"/>
        <v>1.1653350695489504</v>
      </c>
      <c r="O11">
        <f t="shared" si="30"/>
        <v>37.844527864894353</v>
      </c>
      <c r="P11">
        <f t="shared" si="4"/>
        <v>20.948238867954828</v>
      </c>
      <c r="R11" s="41" t="s">
        <v>111</v>
      </c>
      <c r="S11">
        <v>0.34</v>
      </c>
      <c r="T11" s="45">
        <f t="shared" si="5"/>
        <v>14.972999999999999</v>
      </c>
      <c r="U11">
        <f t="shared" si="22"/>
        <v>17.405802863304309</v>
      </c>
      <c r="V11">
        <f t="shared" si="6"/>
        <v>75.13784167090887</v>
      </c>
      <c r="W11">
        <f t="shared" si="31"/>
        <v>37.844527864894353</v>
      </c>
      <c r="X11">
        <f t="shared" si="7"/>
        <v>1350.6891678407969</v>
      </c>
      <c r="Z11" s="40" t="s">
        <v>86</v>
      </c>
      <c r="AA11">
        <v>0.6</v>
      </c>
      <c r="AB11" s="45">
        <f t="shared" si="23"/>
        <v>9.7650000000000006</v>
      </c>
      <c r="AC11">
        <f t="shared" si="24"/>
        <v>8</v>
      </c>
      <c r="AD11">
        <f t="shared" si="8"/>
        <v>26.591738986146954</v>
      </c>
      <c r="AE11">
        <f t="shared" si="32"/>
        <v>37.844527864894353</v>
      </c>
      <c r="AF11">
        <f t="shared" si="25"/>
        <v>478.01710834268704</v>
      </c>
      <c r="AH11" s="41" t="s">
        <v>125</v>
      </c>
      <c r="AI11">
        <v>0.215</v>
      </c>
      <c r="AJ11" s="45">
        <f t="shared" si="26"/>
        <v>7.6818</v>
      </c>
      <c r="AK11">
        <f t="shared" si="27"/>
        <v>8.5130152905121328</v>
      </c>
      <c r="AL11">
        <f t="shared" si="9"/>
        <v>6.4962118678313692</v>
      </c>
      <c r="AM11">
        <f t="shared" si="33"/>
        <v>37.844527864894353</v>
      </c>
      <c r="AN11">
        <f t="shared" si="10"/>
        <v>116.77688374799078</v>
      </c>
      <c r="AP11" s="41" t="s">
        <v>31</v>
      </c>
      <c r="AQ11">
        <v>0.67500000000000004</v>
      </c>
      <c r="AR11" s="45">
        <f t="shared" si="34"/>
        <v>12.502248746854677</v>
      </c>
      <c r="AS11">
        <f t="shared" si="35"/>
        <v>11.429136279865288</v>
      </c>
      <c r="AT11">
        <f t="shared" si="11"/>
        <v>68.447482005353919</v>
      </c>
      <c r="AU11">
        <f t="shared" si="36"/>
        <v>37.844527864894353</v>
      </c>
      <c r="AV11">
        <f t="shared" si="12"/>
        <v>1230.4222540158987</v>
      </c>
      <c r="AX11">
        <f t="shared" si="28"/>
        <v>5.6</v>
      </c>
      <c r="AY11">
        <f t="shared" si="13"/>
        <v>20.552</v>
      </c>
      <c r="AZ11">
        <f t="shared" si="14"/>
        <v>11.835013276725201</v>
      </c>
      <c r="BA11">
        <f t="shared" si="15"/>
        <v>2.7812281200304221</v>
      </c>
      <c r="BB11">
        <f t="shared" si="16"/>
        <v>14.616241396755623</v>
      </c>
      <c r="BC11">
        <f t="shared" si="17"/>
        <v>35.168241396755619</v>
      </c>
      <c r="BH11">
        <f t="shared" si="18"/>
        <v>227.06716718936613</v>
      </c>
      <c r="BI11" s="30">
        <f t="shared" si="37"/>
        <v>8.4635081244757799</v>
      </c>
      <c r="BJ11" s="30">
        <f t="shared" si="38"/>
        <v>8.4635081244757782</v>
      </c>
    </row>
    <row r="12" spans="1:63" ht="19">
      <c r="A12" s="39">
        <v>8</v>
      </c>
      <c r="B12" s="41" t="s">
        <v>106</v>
      </c>
      <c r="C12">
        <v>0.88100000000000001</v>
      </c>
      <c r="D12" s="45">
        <f t="shared" si="19"/>
        <v>2.9760000000000004</v>
      </c>
      <c r="E12">
        <f t="shared" si="20"/>
        <v>4.5804863350725551</v>
      </c>
      <c r="F12">
        <f t="shared" si="0"/>
        <v>2.2074594662838409</v>
      </c>
      <c r="G12">
        <f t="shared" si="29"/>
        <v>37.655305225569883</v>
      </c>
      <c r="H12">
        <f t="shared" si="1"/>
        <v>39.483215988596015</v>
      </c>
      <c r="J12" s="40" t="s">
        <v>117</v>
      </c>
      <c r="K12">
        <v>0.36</v>
      </c>
      <c r="L12" s="45">
        <f t="shared" si="2"/>
        <v>3.72</v>
      </c>
      <c r="M12">
        <f t="shared" si="21"/>
        <v>5.3289440925668474</v>
      </c>
      <c r="N12">
        <f t="shared" si="3"/>
        <v>1.6514593936198048</v>
      </c>
      <c r="O12">
        <f t="shared" si="30"/>
        <v>37.655305225569883</v>
      </c>
      <c r="P12">
        <f t="shared" si="4"/>
        <v>29.538448578834441</v>
      </c>
      <c r="R12" s="41" t="s">
        <v>111</v>
      </c>
      <c r="S12">
        <v>0.34</v>
      </c>
      <c r="T12" s="45">
        <f t="shared" si="5"/>
        <v>17.111999999999998</v>
      </c>
      <c r="U12">
        <f t="shared" si="22"/>
        <v>18.968952535336339</v>
      </c>
      <c r="V12">
        <f t="shared" si="6"/>
        <v>106.05030033613085</v>
      </c>
      <c r="W12">
        <f t="shared" si="31"/>
        <v>37.655305225569883</v>
      </c>
      <c r="X12">
        <f t="shared" si="7"/>
        <v>1896.8443034996726</v>
      </c>
      <c r="Z12" s="40" t="s">
        <v>86</v>
      </c>
      <c r="AA12">
        <v>0.6</v>
      </c>
      <c r="AB12" s="45">
        <f t="shared" si="23"/>
        <v>11.16</v>
      </c>
      <c r="AC12">
        <f t="shared" si="24"/>
        <v>8</v>
      </c>
      <c r="AD12">
        <f t="shared" si="8"/>
        <v>34.510163730154332</v>
      </c>
      <c r="AE12">
        <f t="shared" si="32"/>
        <v>37.655305225569883</v>
      </c>
      <c r="AF12">
        <f t="shared" si="25"/>
        <v>617.2581056055925</v>
      </c>
      <c r="AH12" s="41" t="s">
        <v>125</v>
      </c>
      <c r="AI12">
        <v>0.215</v>
      </c>
      <c r="AJ12" s="45">
        <f t="shared" si="26"/>
        <v>8.7791999999999994</v>
      </c>
      <c r="AK12">
        <f t="shared" si="27"/>
        <v>9.2438711350036016</v>
      </c>
      <c r="AL12">
        <f t="shared" si="9"/>
        <v>9.1363439097237116</v>
      </c>
      <c r="AM12">
        <f t="shared" si="33"/>
        <v>37.655305225569883</v>
      </c>
      <c r="AN12">
        <f t="shared" si="10"/>
        <v>163.41511381905084</v>
      </c>
      <c r="AP12" s="41" t="s">
        <v>31</v>
      </c>
      <c r="AQ12">
        <v>0.67500000000000004</v>
      </c>
      <c r="AR12" s="45">
        <f t="shared" si="34"/>
        <v>13.787306798171738</v>
      </c>
      <c r="AS12">
        <f t="shared" si="35"/>
        <v>12.102276493370498</v>
      </c>
      <c r="AT12">
        <f t="shared" si="11"/>
        <v>87.61080562375632</v>
      </c>
      <c r="AU12">
        <f t="shared" si="36"/>
        <v>37.655305225569883</v>
      </c>
      <c r="AV12">
        <f t="shared" si="12"/>
        <v>1567.0305227397939</v>
      </c>
      <c r="AX12">
        <f t="shared" si="28"/>
        <v>6.3999999999999995</v>
      </c>
      <c r="AY12">
        <f t="shared" si="13"/>
        <v>23.487999999999996</v>
      </c>
      <c r="AZ12">
        <f t="shared" si="14"/>
        <v>15.830800836549754</v>
      </c>
      <c r="BA12">
        <f t="shared" si="15"/>
        <v>3.7202381965891917</v>
      </c>
      <c r="BB12">
        <f t="shared" si="16"/>
        <v>19.551039033138945</v>
      </c>
      <c r="BC12">
        <f t="shared" si="17"/>
        <v>43.039039033138941</v>
      </c>
      <c r="BE12" s="38" t="s">
        <v>18</v>
      </c>
      <c r="BF12" t="s">
        <v>104</v>
      </c>
      <c r="BH12">
        <f t="shared" si="18"/>
        <v>225.93183135341931</v>
      </c>
      <c r="BI12">
        <f t="shared" si="37"/>
        <v>9.5890844663619585</v>
      </c>
      <c r="BJ12">
        <f t="shared" si="38"/>
        <v>9.5890844663619568</v>
      </c>
    </row>
    <row r="13" spans="1:63">
      <c r="A13" s="39">
        <v>9</v>
      </c>
      <c r="B13" s="41" t="s">
        <v>106</v>
      </c>
      <c r="C13">
        <v>0.88100000000000001</v>
      </c>
      <c r="D13" s="45">
        <f t="shared" si="19"/>
        <v>3.3480000000000003</v>
      </c>
      <c r="E13">
        <f t="shared" si="20"/>
        <v>4.9635136380079485</v>
      </c>
      <c r="F13">
        <f t="shared" si="0"/>
        <v>3.0045748397301977</v>
      </c>
      <c r="G13">
        <f t="shared" si="29"/>
        <v>37.467028699442032</v>
      </c>
      <c r="H13">
        <f t="shared" si="1"/>
        <v>53.471933581151561</v>
      </c>
      <c r="J13" s="40" t="s">
        <v>117</v>
      </c>
      <c r="K13">
        <v>0.36</v>
      </c>
      <c r="L13" s="45">
        <f t="shared" si="2"/>
        <v>4.1850000000000005</v>
      </c>
      <c r="M13">
        <f t="shared" si="21"/>
        <v>5.7642474410442812</v>
      </c>
      <c r="N13">
        <f t="shared" si="3"/>
        <v>2.2438852310583743</v>
      </c>
      <c r="O13">
        <f t="shared" si="30"/>
        <v>37.467028699442032</v>
      </c>
      <c r="P13">
        <f t="shared" si="4"/>
        <v>39.934063366401155</v>
      </c>
      <c r="R13" s="41" t="s">
        <v>111</v>
      </c>
      <c r="S13">
        <v>0.34</v>
      </c>
      <c r="T13" s="45">
        <f t="shared" si="5"/>
        <v>19.251000000000001</v>
      </c>
      <c r="U13">
        <f t="shared" si="22"/>
        <v>20.424292378619654</v>
      </c>
      <c r="V13">
        <f t="shared" si="6"/>
        <v>143.4481024059962</v>
      </c>
      <c r="W13">
        <f t="shared" si="31"/>
        <v>37.467028699442032</v>
      </c>
      <c r="X13">
        <f t="shared" si="7"/>
        <v>2552.9227306198304</v>
      </c>
      <c r="Z13" s="40" t="s">
        <v>86</v>
      </c>
      <c r="AA13">
        <v>0.6</v>
      </c>
      <c r="AB13" s="45">
        <f t="shared" si="23"/>
        <v>12.555000000000001</v>
      </c>
      <c r="AC13">
        <f t="shared" si="24"/>
        <v>8</v>
      </c>
      <c r="AD13">
        <f t="shared" si="8"/>
        <v>43.430691436274564</v>
      </c>
      <c r="AE13">
        <f t="shared" si="32"/>
        <v>37.467028699442032</v>
      </c>
      <c r="AF13">
        <f t="shared" si="25"/>
        <v>772.9290071777674</v>
      </c>
      <c r="AH13" s="41" t="s">
        <v>125</v>
      </c>
      <c r="AI13">
        <v>0.215</v>
      </c>
      <c r="AJ13" s="45">
        <f t="shared" si="26"/>
        <v>9.8765999999999998</v>
      </c>
      <c r="AK13">
        <f t="shared" si="27"/>
        <v>9.9304422442777298</v>
      </c>
      <c r="AL13">
        <f t="shared" si="9"/>
        <v>12.330767727205059</v>
      </c>
      <c r="AM13">
        <f t="shared" si="33"/>
        <v>37.467028699442032</v>
      </c>
      <c r="AN13">
        <f t="shared" si="10"/>
        <v>219.4486834526391</v>
      </c>
      <c r="AP13" s="41" t="s">
        <v>31</v>
      </c>
      <c r="AQ13">
        <v>0.67500000000000004</v>
      </c>
      <c r="AR13" s="45">
        <f t="shared" si="34"/>
        <v>14.920808331435939</v>
      </c>
      <c r="AS13">
        <f t="shared" si="35"/>
        <v>12.668662753203611</v>
      </c>
      <c r="AT13">
        <f t="shared" si="11"/>
        <v>106.88664693160936</v>
      </c>
      <c r="AU13">
        <f t="shared" si="36"/>
        <v>37.467028699442032</v>
      </c>
      <c r="AV13">
        <f t="shared" si="12"/>
        <v>1902.2444073825243</v>
      </c>
      <c r="AX13">
        <f t="shared" si="28"/>
        <v>7.1999999999999993</v>
      </c>
      <c r="AY13">
        <f t="shared" si="13"/>
        <v>26.423999999999996</v>
      </c>
      <c r="AZ13">
        <f t="shared" si="14"/>
        <v>20.335289529879752</v>
      </c>
      <c r="BA13">
        <f t="shared" si="15"/>
        <v>4.7787930395217417</v>
      </c>
      <c r="BB13">
        <f t="shared" si="16"/>
        <v>25.114082569401493</v>
      </c>
      <c r="BC13">
        <f t="shared" si="17"/>
        <v>51.538082569401489</v>
      </c>
      <c r="BE13">
        <f>BE7-BE10</f>
        <v>1698.5198552978661</v>
      </c>
      <c r="BF13">
        <f>BE13/BE4</f>
        <v>266.64361935602295</v>
      </c>
      <c r="BH13">
        <f t="shared" si="18"/>
        <v>224.80217219665221</v>
      </c>
      <c r="BI13">
        <f t="shared" si="37"/>
        <v>10.689401388572657</v>
      </c>
      <c r="BJ13">
        <f t="shared" si="38"/>
        <v>10.689401388572655</v>
      </c>
    </row>
    <row r="14" spans="1:63">
      <c r="A14" s="39">
        <v>10</v>
      </c>
      <c r="B14" s="41" t="s">
        <v>106</v>
      </c>
      <c r="C14">
        <v>0.88100000000000001</v>
      </c>
      <c r="D14" s="45">
        <f t="shared" si="19"/>
        <v>3.72</v>
      </c>
      <c r="E14">
        <f t="shared" si="20"/>
        <v>5.3289440925668474</v>
      </c>
      <c r="F14">
        <f t="shared" si="0"/>
        <v>3.9556070796444329</v>
      </c>
      <c r="G14">
        <f t="shared" si="29"/>
        <v>37.279693555944824</v>
      </c>
      <c r="H14">
        <f t="shared" si="1"/>
        <v>70.045314384513389</v>
      </c>
      <c r="J14" s="40" t="s">
        <v>117</v>
      </c>
      <c r="K14">
        <v>0.36</v>
      </c>
      <c r="L14" s="45">
        <f t="shared" si="2"/>
        <v>4.6500000000000004</v>
      </c>
      <c r="M14">
        <f t="shared" si="21"/>
        <v>6.1787446389068963</v>
      </c>
      <c r="N14">
        <f t="shared" si="3"/>
        <v>2.9495319828263273</v>
      </c>
      <c r="O14">
        <f t="shared" si="30"/>
        <v>37.279693555944824</v>
      </c>
      <c r="P14">
        <f t="shared" si="4"/>
        <v>52.229883015281303</v>
      </c>
      <c r="R14" s="41" t="s">
        <v>111</v>
      </c>
      <c r="S14">
        <v>0.34</v>
      </c>
      <c r="T14" s="45">
        <f t="shared" si="5"/>
        <v>21.39</v>
      </c>
      <c r="U14">
        <f t="shared" si="22"/>
        <v>21.784262303192751</v>
      </c>
      <c r="V14">
        <f t="shared" si="6"/>
        <v>187.64516037153859</v>
      </c>
      <c r="W14">
        <f t="shared" si="31"/>
        <v>37.279693555944824</v>
      </c>
      <c r="X14">
        <f t="shared" si="7"/>
        <v>3322.7931860558629</v>
      </c>
      <c r="Z14" s="40" t="s">
        <v>86</v>
      </c>
      <c r="AA14">
        <v>0.6</v>
      </c>
      <c r="AB14" s="45">
        <f t="shared" si="23"/>
        <v>13.950000000000001</v>
      </c>
      <c r="AC14">
        <f t="shared" si="24"/>
        <v>8</v>
      </c>
      <c r="AD14">
        <f t="shared" si="8"/>
        <v>53.347658836908529</v>
      </c>
      <c r="AE14">
        <f t="shared" si="32"/>
        <v>37.279693555944824</v>
      </c>
      <c r="AF14">
        <f t="shared" si="25"/>
        <v>944.67257734934481</v>
      </c>
      <c r="AH14" s="41" t="s">
        <v>125</v>
      </c>
      <c r="AI14">
        <v>0.215</v>
      </c>
      <c r="AJ14" s="45">
        <f t="shared" si="26"/>
        <v>10.974</v>
      </c>
      <c r="AK14">
        <f t="shared" si="27"/>
        <v>10.579240433676681</v>
      </c>
      <c r="AL14">
        <f t="shared" si="9"/>
        <v>16.111462865864613</v>
      </c>
      <c r="AM14">
        <f t="shared" si="33"/>
        <v>37.279693555944824</v>
      </c>
      <c r="AN14">
        <f t="shared" si="10"/>
        <v>285.29943922927322</v>
      </c>
      <c r="AP14" s="41" t="s">
        <v>31</v>
      </c>
      <c r="AQ14">
        <v>0.67500000000000004</v>
      </c>
      <c r="AR14" s="45">
        <f t="shared" si="34"/>
        <v>15.93476000434122</v>
      </c>
      <c r="AS14">
        <f t="shared" si="35"/>
        <v>13.1558721993145</v>
      </c>
      <c r="AT14">
        <f t="shared" si="11"/>
        <v>126.08249358094318</v>
      </c>
      <c r="AU14">
        <f t="shared" si="36"/>
        <v>37.279693555944824</v>
      </c>
      <c r="AV14">
        <f t="shared" si="12"/>
        <v>2232.6504436467972</v>
      </c>
      <c r="AX14">
        <f t="shared" si="28"/>
        <v>7.9999999999999991</v>
      </c>
      <c r="AY14">
        <f t="shared" si="13"/>
        <v>29.359999999999996</v>
      </c>
      <c r="AZ14">
        <f t="shared" si="14"/>
        <v>25.35122539630953</v>
      </c>
      <c r="BA14">
        <f t="shared" si="15"/>
        <v>5.9575379681327396</v>
      </c>
      <c r="BB14">
        <f t="shared" si="16"/>
        <v>31.308763364442271</v>
      </c>
      <c r="BC14">
        <f t="shared" si="17"/>
        <v>60.66876336444227</v>
      </c>
      <c r="BF14">
        <f>BF13/30</f>
        <v>8.8881206452007646</v>
      </c>
      <c r="BH14">
        <f t="shared" si="18"/>
        <v>223.67816133566893</v>
      </c>
      <c r="BI14" s="30">
        <f t="shared" si="37"/>
        <v>11.769793334056869</v>
      </c>
      <c r="BJ14" s="30">
        <f t="shared" si="38"/>
        <v>11.769793334056871</v>
      </c>
    </row>
    <row r="15" spans="1:63">
      <c r="A15" s="39">
        <v>11</v>
      </c>
      <c r="B15" s="41" t="s">
        <v>106</v>
      </c>
      <c r="C15">
        <v>0.88100000000000001</v>
      </c>
      <c r="D15" s="45">
        <f t="shared" si="19"/>
        <v>4.0920000000000005</v>
      </c>
      <c r="E15">
        <f t="shared" si="20"/>
        <v>5.6789458598553804</v>
      </c>
      <c r="F15">
        <f t="shared" si="0"/>
        <v>5.0696175060479165</v>
      </c>
      <c r="G15">
        <f t="shared" si="29"/>
        <v>37.0932950881651</v>
      </c>
      <c r="H15">
        <f t="shared" si="1"/>
        <v>89.323188614582421</v>
      </c>
      <c r="J15" s="40" t="s">
        <v>117</v>
      </c>
      <c r="K15">
        <v>0.36</v>
      </c>
      <c r="L15" s="45">
        <f t="shared" si="2"/>
        <v>5.1150000000000002</v>
      </c>
      <c r="M15">
        <f t="shared" si="21"/>
        <v>6.5750449819425967</v>
      </c>
      <c r="N15">
        <f t="shared" si="3"/>
        <v>3.7748712986540949</v>
      </c>
      <c r="O15">
        <f t="shared" si="30"/>
        <v>37.0932950881651</v>
      </c>
      <c r="P15">
        <f t="shared" si="4"/>
        <v>66.510647125390136</v>
      </c>
      <c r="R15" s="41" t="s">
        <v>111</v>
      </c>
      <c r="S15">
        <v>0.34</v>
      </c>
      <c r="T15" s="45">
        <f t="shared" si="5"/>
        <v>23.529</v>
      </c>
      <c r="U15">
        <f t="shared" si="22"/>
        <v>23.058962009663002</v>
      </c>
      <c r="V15">
        <f t="shared" si="6"/>
        <v>238.91315302630261</v>
      </c>
      <c r="W15">
        <f t="shared" si="31"/>
        <v>37.0932950881651</v>
      </c>
      <c r="X15">
        <f t="shared" si="7"/>
        <v>4209.4861406830787</v>
      </c>
      <c r="Z15" s="40" t="s">
        <v>86</v>
      </c>
      <c r="AA15">
        <v>0.6</v>
      </c>
      <c r="AB15" s="45">
        <f t="shared" si="23"/>
        <v>15.345000000000001</v>
      </c>
      <c r="AC15">
        <f t="shared" si="24"/>
        <v>8</v>
      </c>
      <c r="AD15">
        <f t="shared" si="8"/>
        <v>64.256029560286038</v>
      </c>
      <c r="AE15">
        <f t="shared" si="32"/>
        <v>37.0932950881651</v>
      </c>
      <c r="AF15">
        <f t="shared" si="25"/>
        <v>1132.1472361949359</v>
      </c>
      <c r="AH15" s="41" t="s">
        <v>125</v>
      </c>
      <c r="AI15">
        <v>0.215</v>
      </c>
      <c r="AJ15" s="45">
        <f t="shared" si="26"/>
        <v>12.071399999999999</v>
      </c>
      <c r="AK15">
        <f t="shared" si="27"/>
        <v>11.19530918137259</v>
      </c>
      <c r="AL15">
        <f t="shared" si="9"/>
        <v>20.508086576122103</v>
      </c>
      <c r="AM15">
        <f t="shared" si="33"/>
        <v>37.0932950881651</v>
      </c>
      <c r="AN15">
        <f t="shared" si="10"/>
        <v>361.33844085432395</v>
      </c>
      <c r="AP15" s="41" t="s">
        <v>31</v>
      </c>
      <c r="AQ15">
        <v>0.67500000000000004</v>
      </c>
      <c r="AR15" s="45">
        <f t="shared" si="34"/>
        <v>16.851990863113315</v>
      </c>
      <c r="AS15">
        <f t="shared" si="35"/>
        <v>13.582195396567352</v>
      </c>
      <c r="AT15">
        <f t="shared" si="11"/>
        <v>145.08329583462321</v>
      </c>
      <c r="AU15">
        <f t="shared" si="36"/>
        <v>37.0932950881651</v>
      </c>
      <c r="AV15">
        <f t="shared" si="12"/>
        <v>2556.2683147596858</v>
      </c>
      <c r="AX15">
        <f t="shared" si="28"/>
        <v>8.7999999999999989</v>
      </c>
      <c r="AY15">
        <f t="shared" si="13"/>
        <v>32.295999999999992</v>
      </c>
      <c r="AZ15">
        <f t="shared" si="14"/>
        <v>30.883321463411427</v>
      </c>
      <c r="BA15">
        <f t="shared" si="15"/>
        <v>7.2575805439016845</v>
      </c>
      <c r="BB15">
        <f t="shared" si="16"/>
        <v>38.140902007313109</v>
      </c>
      <c r="BC15">
        <f t="shared" si="17"/>
        <v>70.436902007313108</v>
      </c>
      <c r="BH15">
        <f t="shared" si="18"/>
        <v>222.55977052899058</v>
      </c>
      <c r="BI15">
        <f t="shared" si="37"/>
        <v>12.83406514385222</v>
      </c>
      <c r="BJ15">
        <f t="shared" si="38"/>
        <v>12.834065143852218</v>
      </c>
    </row>
    <row r="16" spans="1:63">
      <c r="A16" s="39">
        <v>12</v>
      </c>
      <c r="B16" s="41" t="s">
        <v>106</v>
      </c>
      <c r="C16">
        <v>0.88100000000000001</v>
      </c>
      <c r="D16" s="45">
        <f t="shared" si="19"/>
        <v>4.4640000000000013</v>
      </c>
      <c r="E16">
        <f t="shared" si="20"/>
        <v>6.0152621208069359</v>
      </c>
      <c r="F16">
        <f t="shared" si="0"/>
        <v>6.3551471270081539</v>
      </c>
      <c r="G16">
        <f t="shared" si="29"/>
        <v>36.907828612724273</v>
      </c>
      <c r="H16">
        <f t="shared" si="1"/>
        <v>111.4134734618254</v>
      </c>
      <c r="J16" s="40" t="s">
        <v>117</v>
      </c>
      <c r="K16">
        <v>0.36</v>
      </c>
      <c r="L16" s="45">
        <f t="shared" si="2"/>
        <v>5.58</v>
      </c>
      <c r="M16">
        <f t="shared" si="21"/>
        <v>6.9552406681794228</v>
      </c>
      <c r="N16">
        <f t="shared" si="3"/>
        <v>4.7259914504265597</v>
      </c>
      <c r="O16">
        <f t="shared" si="30"/>
        <v>36.907828612724273</v>
      </c>
      <c r="P16">
        <f t="shared" si="4"/>
        <v>82.852389176833242</v>
      </c>
      <c r="R16" s="41" t="s">
        <v>111</v>
      </c>
      <c r="S16">
        <v>0.34</v>
      </c>
      <c r="T16" s="45">
        <f t="shared" si="5"/>
        <v>25.667999999999999</v>
      </c>
      <c r="U16">
        <f t="shared" si="22"/>
        <v>24.256772210620053</v>
      </c>
      <c r="V16">
        <f t="shared" si="6"/>
        <v>297.48751825172172</v>
      </c>
      <c r="W16">
        <f t="shared" si="31"/>
        <v>36.907828612724273</v>
      </c>
      <c r="X16">
        <f t="shared" si="7"/>
        <v>5215.3187105781344</v>
      </c>
      <c r="Z16" s="40" t="s">
        <v>86</v>
      </c>
      <c r="AA16">
        <v>0.6</v>
      </c>
      <c r="AB16" s="45">
        <f t="shared" si="23"/>
        <v>16.740000000000002</v>
      </c>
      <c r="AC16">
        <f t="shared" si="24"/>
        <v>8</v>
      </c>
      <c r="AD16">
        <f t="shared" si="8"/>
        <v>76.151271198627953</v>
      </c>
      <c r="AE16">
        <f t="shared" si="32"/>
        <v>36.907828612724273</v>
      </c>
      <c r="AF16">
        <f t="shared" si="25"/>
        <v>1335.0245813690219</v>
      </c>
      <c r="AH16" s="41" t="s">
        <v>125</v>
      </c>
      <c r="AI16">
        <v>0.215</v>
      </c>
      <c r="AJ16" s="45">
        <f t="shared" si="26"/>
        <v>13.168800000000001</v>
      </c>
      <c r="AK16">
        <f t="shared" si="27"/>
        <v>11.782653058379694</v>
      </c>
      <c r="AL16">
        <f t="shared" si="9"/>
        <v>25.548325641500785</v>
      </c>
      <c r="AM16">
        <f t="shared" si="33"/>
        <v>36.907828612724273</v>
      </c>
      <c r="AN16">
        <f t="shared" si="10"/>
        <v>447.89328145632544</v>
      </c>
      <c r="AP16" s="41" t="s">
        <v>31</v>
      </c>
      <c r="AQ16">
        <v>0.67500000000000004</v>
      </c>
      <c r="AR16" s="45">
        <f t="shared" si="34"/>
        <v>17.689357031165791</v>
      </c>
      <c r="AS16">
        <f t="shared" si="35"/>
        <v>13.96035481220796</v>
      </c>
      <c r="AT16">
        <f t="shared" si="11"/>
        <v>163.82055944635707</v>
      </c>
      <c r="AU16">
        <f t="shared" si="36"/>
        <v>36.907828612724273</v>
      </c>
      <c r="AV16">
        <f t="shared" si="12"/>
        <v>2871.9740373612085</v>
      </c>
      <c r="AX16">
        <f t="shared" si="28"/>
        <v>9.6</v>
      </c>
      <c r="AY16">
        <f t="shared" si="13"/>
        <v>35.231999999999999</v>
      </c>
      <c r="AZ16">
        <f t="shared" si="14"/>
        <v>36.936628657390294</v>
      </c>
      <c r="BA16">
        <f t="shared" si="15"/>
        <v>8.6801077344867181</v>
      </c>
      <c r="BB16">
        <f t="shared" si="16"/>
        <v>45.616736391877012</v>
      </c>
      <c r="BC16">
        <f t="shared" si="17"/>
        <v>80.848736391877011</v>
      </c>
      <c r="BH16">
        <f t="shared" si="18"/>
        <v>221.44697167634564</v>
      </c>
      <c r="BI16">
        <f t="shared" si="37"/>
        <v>13.885026171860966</v>
      </c>
      <c r="BJ16">
        <f t="shared" si="38"/>
        <v>13.885026171860964</v>
      </c>
    </row>
    <row r="17" spans="1:62">
      <c r="A17" s="39">
        <v>13</v>
      </c>
      <c r="B17" s="41" t="s">
        <v>106</v>
      </c>
      <c r="C17">
        <v>0.88100000000000001</v>
      </c>
      <c r="D17" s="45">
        <f t="shared" si="19"/>
        <v>4.8360000000000003</v>
      </c>
      <c r="E17">
        <f t="shared" si="20"/>
        <v>6.3393213558251986</v>
      </c>
      <c r="F17">
        <f t="shared" si="0"/>
        <v>7.8202841700279597</v>
      </c>
      <c r="G17">
        <f t="shared" si="29"/>
        <v>36.723289469660649</v>
      </c>
      <c r="H17">
        <f t="shared" si="1"/>
        <v>136.41361567269726</v>
      </c>
      <c r="J17" s="40" t="s">
        <v>117</v>
      </c>
      <c r="K17">
        <v>0.36</v>
      </c>
      <c r="L17" s="45">
        <f t="shared" si="2"/>
        <v>6.0449999999999999</v>
      </c>
      <c r="M17">
        <f t="shared" si="21"/>
        <v>7</v>
      </c>
      <c r="N17">
        <f t="shared" si="3"/>
        <v>5.5599076724692917</v>
      </c>
      <c r="O17">
        <f t="shared" si="30"/>
        <v>36.723289469660649</v>
      </c>
      <c r="P17">
        <f t="shared" si="4"/>
        <v>96.984596968321569</v>
      </c>
      <c r="R17" s="41" t="s">
        <v>111</v>
      </c>
      <c r="S17">
        <v>0.34</v>
      </c>
      <c r="T17" s="45">
        <f t="shared" si="5"/>
        <v>27.806999999999999</v>
      </c>
      <c r="U17">
        <f t="shared" si="22"/>
        <v>25.38476965008298</v>
      </c>
      <c r="V17">
        <f t="shared" si="6"/>
        <v>363.57233702389618</v>
      </c>
      <c r="W17">
        <f t="shared" si="31"/>
        <v>36.723289469660649</v>
      </c>
      <c r="X17">
        <f t="shared" si="7"/>
        <v>6341.9967834525405</v>
      </c>
      <c r="Z17" s="40" t="s">
        <v>86</v>
      </c>
      <c r="AA17">
        <v>0.6</v>
      </c>
      <c r="AB17" s="45">
        <f t="shared" si="23"/>
        <v>18.135000000000002</v>
      </c>
      <c r="AC17">
        <f t="shared" si="24"/>
        <v>8</v>
      </c>
      <c r="AD17">
        <f t="shared" si="8"/>
        <v>89.029265180157751</v>
      </c>
      <c r="AE17">
        <f t="shared" si="32"/>
        <v>36.723289469660649</v>
      </c>
      <c r="AF17">
        <f t="shared" si="25"/>
        <v>1552.9875513290033</v>
      </c>
      <c r="AH17" s="41" t="s">
        <v>125</v>
      </c>
      <c r="AI17">
        <v>0.215</v>
      </c>
      <c r="AJ17" s="45">
        <f t="shared" si="26"/>
        <v>14.266200000000001</v>
      </c>
      <c r="AK17">
        <f t="shared" si="27"/>
        <v>12.344517074849783</v>
      </c>
      <c r="AL17">
        <f t="shared" si="9"/>
        <v>31.258169717232644</v>
      </c>
      <c r="AM17">
        <f t="shared" si="33"/>
        <v>36.723289469660649</v>
      </c>
      <c r="AN17">
        <f t="shared" si="10"/>
        <v>545.25383703841453</v>
      </c>
      <c r="AP17" s="41" t="s">
        <v>31</v>
      </c>
      <c r="AQ17">
        <v>0.67500000000000004</v>
      </c>
      <c r="AR17" s="45">
        <f t="shared" si="34"/>
        <v>18.459659234441144</v>
      </c>
      <c r="AS17">
        <f t="shared" si="35"/>
        <v>14.299538088674256</v>
      </c>
      <c r="AT17">
        <f t="shared" si="11"/>
        <v>182.25457962307632</v>
      </c>
      <c r="AU17">
        <f t="shared" si="36"/>
        <v>36.723289469660649</v>
      </c>
      <c r="AV17">
        <f t="shared" si="12"/>
        <v>3179.1691502180347</v>
      </c>
      <c r="AX17">
        <f t="shared" si="28"/>
        <v>10.4</v>
      </c>
      <c r="AY17">
        <f t="shared" si="13"/>
        <v>38.167999999999999</v>
      </c>
      <c r="AZ17">
        <f t="shared" si="14"/>
        <v>43.499796312271975</v>
      </c>
      <c r="BA17">
        <f t="shared" si="15"/>
        <v>10.222452133383914</v>
      </c>
      <c r="BB17">
        <f t="shared" si="16"/>
        <v>53.722248445655893</v>
      </c>
      <c r="BC17">
        <f t="shared" si="17"/>
        <v>91.890248445655885</v>
      </c>
      <c r="BH17">
        <f t="shared" si="18"/>
        <v>220.33973681796388</v>
      </c>
      <c r="BI17">
        <f t="shared" si="37"/>
        <v>14.924809872406859</v>
      </c>
      <c r="BJ17">
        <f t="shared" si="38"/>
        <v>14.924809872406859</v>
      </c>
    </row>
    <row r="18" spans="1:62">
      <c r="A18" s="39">
        <v>14</v>
      </c>
      <c r="B18" s="41" t="s">
        <v>106</v>
      </c>
      <c r="C18">
        <v>0.88100000000000001</v>
      </c>
      <c r="D18" s="45">
        <f t="shared" si="19"/>
        <v>5.2080000000000011</v>
      </c>
      <c r="E18">
        <f t="shared" si="20"/>
        <v>6.6523129477924181</v>
      </c>
      <c r="F18">
        <f t="shared" si="0"/>
        <v>9.472718306831073</v>
      </c>
      <c r="G18">
        <f t="shared" si="29"/>
        <v>36.539673022312343</v>
      </c>
      <c r="H18">
        <f t="shared" si="1"/>
        <v>164.41176404293782</v>
      </c>
      <c r="J18" s="40" t="s">
        <v>117</v>
      </c>
      <c r="K18">
        <v>0.36</v>
      </c>
      <c r="L18" s="45">
        <f t="shared" si="2"/>
        <v>6.5100000000000007</v>
      </c>
      <c r="M18">
        <f t="shared" si="21"/>
        <v>7</v>
      </c>
      <c r="N18">
        <f t="shared" si="3"/>
        <v>6.4252803501741687</v>
      </c>
      <c r="O18">
        <f t="shared" si="30"/>
        <v>36.539673022312343</v>
      </c>
      <c r="P18">
        <f t="shared" si="4"/>
        <v>111.51938045922502</v>
      </c>
      <c r="R18" s="41" t="s">
        <v>111</v>
      </c>
      <c r="S18">
        <v>0.34</v>
      </c>
      <c r="T18" s="45">
        <f t="shared" si="5"/>
        <v>29.945999999999998</v>
      </c>
      <c r="U18">
        <f t="shared" si="22"/>
        <v>26.449015687252821</v>
      </c>
      <c r="V18">
        <f t="shared" si="6"/>
        <v>437.34438015125659</v>
      </c>
      <c r="W18">
        <f t="shared" si="31"/>
        <v>36.539673022312343</v>
      </c>
      <c r="X18">
        <f t="shared" si="7"/>
        <v>7590.6998082145719</v>
      </c>
      <c r="Z18" s="40" t="s">
        <v>86</v>
      </c>
      <c r="AA18">
        <v>0.6</v>
      </c>
      <c r="AB18" s="45">
        <f t="shared" si="23"/>
        <v>19.53</v>
      </c>
      <c r="AC18">
        <f t="shared" si="24"/>
        <v>8</v>
      </c>
      <c r="AD18">
        <f t="shared" si="8"/>
        <v>102.88623873828766</v>
      </c>
      <c r="AE18">
        <f t="shared" si="32"/>
        <v>36.539673022312343</v>
      </c>
      <c r="AF18">
        <f t="shared" si="25"/>
        <v>1785.7290229464834</v>
      </c>
      <c r="AH18" s="41" t="s">
        <v>125</v>
      </c>
      <c r="AI18">
        <v>0.215</v>
      </c>
      <c r="AJ18" s="45">
        <f t="shared" si="26"/>
        <v>15.3636</v>
      </c>
      <c r="AK18">
        <f t="shared" si="27"/>
        <v>12.883575736478459</v>
      </c>
      <c r="AL18">
        <f t="shared" si="9"/>
        <v>37.662128554903546</v>
      </c>
      <c r="AM18">
        <f t="shared" si="33"/>
        <v>36.539673022312343</v>
      </c>
      <c r="AN18">
        <f t="shared" si="10"/>
        <v>653.67688479222249</v>
      </c>
      <c r="AP18" s="41" t="s">
        <v>31</v>
      </c>
      <c r="AQ18">
        <v>0.67500000000000004</v>
      </c>
      <c r="AR18" s="45">
        <f t="shared" si="34"/>
        <v>19.172847679578592</v>
      </c>
      <c r="AS18">
        <f t="shared" si="35"/>
        <v>14.60658479924488</v>
      </c>
      <c r="AT18">
        <f t="shared" si="11"/>
        <v>200.36384099779482</v>
      </c>
      <c r="AU18">
        <f t="shared" si="36"/>
        <v>36.539673022312343</v>
      </c>
      <c r="AV18">
        <f t="shared" si="12"/>
        <v>3477.5838868881515</v>
      </c>
      <c r="AX18">
        <f t="shared" si="28"/>
        <v>11.200000000000001</v>
      </c>
      <c r="AY18">
        <f t="shared" si="13"/>
        <v>41.104000000000006</v>
      </c>
      <c r="AZ18">
        <f t="shared" si="14"/>
        <v>50.585888142750974</v>
      </c>
      <c r="BA18">
        <f t="shared" si="15"/>
        <v>11.887683713546478</v>
      </c>
      <c r="BB18">
        <f t="shared" si="16"/>
        <v>62.473571856297454</v>
      </c>
      <c r="BC18">
        <f t="shared" si="17"/>
        <v>103.57757185629745</v>
      </c>
      <c r="BH18">
        <f t="shared" si="18"/>
        <v>219.23803813387406</v>
      </c>
      <c r="BI18">
        <f t="shared" si="37"/>
        <v>15.955074613263101</v>
      </c>
      <c r="BJ18">
        <f t="shared" si="38"/>
        <v>15.955074613263099</v>
      </c>
    </row>
    <row r="19" spans="1:62">
      <c r="A19" s="39">
        <v>15</v>
      </c>
      <c r="B19" s="41" t="s">
        <v>106</v>
      </c>
      <c r="C19">
        <v>0.88100000000000001</v>
      </c>
      <c r="D19" s="45">
        <f t="shared" si="19"/>
        <v>5.58</v>
      </c>
      <c r="E19">
        <f t="shared" si="20"/>
        <v>6.9552406681794228</v>
      </c>
      <c r="F19">
        <f t="shared" si="0"/>
        <v>11.319784980405091</v>
      </c>
      <c r="G19">
        <f t="shared" si="29"/>
        <v>36.35697465720078</v>
      </c>
      <c r="H19">
        <f t="shared" si="1"/>
        <v>195.48773943733619</v>
      </c>
      <c r="J19" s="40" t="s">
        <v>117</v>
      </c>
      <c r="K19">
        <v>0.36</v>
      </c>
      <c r="L19" s="45">
        <f t="shared" si="2"/>
        <v>6.9750000000000005</v>
      </c>
      <c r="M19">
        <f t="shared" si="21"/>
        <v>7</v>
      </c>
      <c r="N19">
        <f t="shared" si="3"/>
        <v>7.3515733330827002</v>
      </c>
      <c r="O19">
        <f t="shared" si="30"/>
        <v>36.35697465720078</v>
      </c>
      <c r="P19">
        <f t="shared" si="4"/>
        <v>126.95845854668437</v>
      </c>
      <c r="R19" s="41" t="s">
        <v>111</v>
      </c>
      <c r="S19">
        <v>0.34</v>
      </c>
      <c r="T19" s="45">
        <f t="shared" si="5"/>
        <v>32.085000000000001</v>
      </c>
      <c r="U19">
        <f t="shared" si="22"/>
        <v>27.454763680090526</v>
      </c>
      <c r="V19">
        <f t="shared" si="6"/>
        <v>518.95650631786361</v>
      </c>
      <c r="W19">
        <f t="shared" si="31"/>
        <v>36.35697465720078</v>
      </c>
      <c r="X19">
        <f t="shared" si="7"/>
        <v>8962.1520604843117</v>
      </c>
      <c r="Z19" s="40" t="s">
        <v>86</v>
      </c>
      <c r="AA19">
        <v>0.6</v>
      </c>
      <c r="AB19" s="45">
        <f t="shared" si="23"/>
        <v>20.925000000000001</v>
      </c>
      <c r="AC19">
        <f t="shared" si="24"/>
        <v>8</v>
      </c>
      <c r="AD19">
        <f t="shared" si="8"/>
        <v>117.71871230942823</v>
      </c>
      <c r="AE19">
        <f t="shared" si="32"/>
        <v>36.35697465720078</v>
      </c>
      <c r="AF19">
        <f t="shared" si="25"/>
        <v>2032.950714053291</v>
      </c>
      <c r="AH19" s="41" t="s">
        <v>125</v>
      </c>
      <c r="AI19">
        <v>0.215</v>
      </c>
      <c r="AJ19" s="45">
        <f t="shared" si="26"/>
        <v>16.460999999999999</v>
      </c>
      <c r="AK19">
        <f t="shared" si="27"/>
        <v>13.402065253495985</v>
      </c>
      <c r="AL19">
        <f t="shared" si="9"/>
        <v>44.783407911984717</v>
      </c>
      <c r="AM19">
        <f t="shared" si="33"/>
        <v>36.35697465720078</v>
      </c>
      <c r="AN19">
        <f t="shared" si="10"/>
        <v>773.38988259657879</v>
      </c>
      <c r="AP19" s="41" t="s">
        <v>31</v>
      </c>
      <c r="AQ19">
        <v>0.67500000000000004</v>
      </c>
      <c r="AR19" s="45">
        <f t="shared" si="34"/>
        <v>19.836810237335275</v>
      </c>
      <c r="AS19">
        <f t="shared" si="35"/>
        <v>14.886716120856725</v>
      </c>
      <c r="AT19">
        <f t="shared" si="11"/>
        <v>218.13849317001043</v>
      </c>
      <c r="AU19">
        <f t="shared" si="36"/>
        <v>36.35697465720078</v>
      </c>
      <c r="AV19">
        <f t="shared" si="12"/>
        <v>3767.1564422724664</v>
      </c>
      <c r="AX19">
        <f t="shared" si="28"/>
        <v>12.000000000000002</v>
      </c>
      <c r="AY19">
        <f t="shared" si="13"/>
        <v>44.040000000000006</v>
      </c>
      <c r="AZ19">
        <f t="shared" si="14"/>
        <v>58.199209741423751</v>
      </c>
      <c r="BA19">
        <f t="shared" si="15"/>
        <v>13.676814289234581</v>
      </c>
      <c r="BB19">
        <f t="shared" si="16"/>
        <v>71.876024030658328</v>
      </c>
      <c r="BC19">
        <f t="shared" si="17"/>
        <v>115.91602403065833</v>
      </c>
      <c r="BH19">
        <f t="shared" si="18"/>
        <v>218.14184794320471</v>
      </c>
      <c r="BI19" s="30">
        <f t="shared" si="37"/>
        <v>16.977135039555879</v>
      </c>
      <c r="BJ19" s="30">
        <f t="shared" si="38"/>
        <v>16.977135039555876</v>
      </c>
    </row>
    <row r="20" spans="1:62">
      <c r="A20" s="39">
        <v>16</v>
      </c>
      <c r="B20" s="41" t="s">
        <v>106</v>
      </c>
      <c r="C20">
        <v>0.88100000000000001</v>
      </c>
      <c r="D20" s="45">
        <f t="shared" si="19"/>
        <v>5.9520000000000008</v>
      </c>
      <c r="E20">
        <f t="shared" si="20"/>
        <v>7.2489615322552217</v>
      </c>
      <c r="F20">
        <f t="shared" si="0"/>
        <v>13.368502193583335</v>
      </c>
      <c r="G20">
        <f t="shared" si="29"/>
        <v>36.175189783914774</v>
      </c>
      <c r="H20">
        <f t="shared" si="1"/>
        <v>229.71384939029008</v>
      </c>
      <c r="J20" s="40" t="s">
        <v>117</v>
      </c>
      <c r="K20">
        <v>0.36</v>
      </c>
      <c r="L20" s="45">
        <f t="shared" si="2"/>
        <v>7.44</v>
      </c>
      <c r="M20">
        <f t="shared" si="21"/>
        <v>7</v>
      </c>
      <c r="N20">
        <f t="shared" si="3"/>
        <v>8.3385850399693204</v>
      </c>
      <c r="O20">
        <f t="shared" si="30"/>
        <v>36.175189783914774</v>
      </c>
      <c r="P20">
        <f t="shared" si="4"/>
        <v>143.28370076634627</v>
      </c>
      <c r="R20" s="41" t="s">
        <v>111</v>
      </c>
      <c r="S20">
        <v>0.34</v>
      </c>
      <c r="T20" s="45">
        <f t="shared" si="5"/>
        <v>34.223999999999997</v>
      </c>
      <c r="U20">
        <f t="shared" si="22"/>
        <v>28.406612181678351</v>
      </c>
      <c r="V20">
        <f t="shared" si="6"/>
        <v>608.54054685194808</v>
      </c>
      <c r="W20">
        <f t="shared" si="31"/>
        <v>36.175189783914774</v>
      </c>
      <c r="X20">
        <f t="shared" si="7"/>
        <v>10456.683142448837</v>
      </c>
      <c r="Z20" s="40" t="s">
        <v>86</v>
      </c>
      <c r="AA20">
        <v>0.6</v>
      </c>
      <c r="AB20" s="45">
        <f t="shared" si="23"/>
        <v>22.32</v>
      </c>
      <c r="AC20">
        <f t="shared" si="24"/>
        <v>8</v>
      </c>
      <c r="AD20">
        <f t="shared" si="8"/>
        <v>133.52345802911802</v>
      </c>
      <c r="AE20">
        <f t="shared" si="32"/>
        <v>36.175189783914774</v>
      </c>
      <c r="AF20">
        <f t="shared" si="25"/>
        <v>2294.3623065337638</v>
      </c>
      <c r="AH20" s="41" t="s">
        <v>125</v>
      </c>
      <c r="AI20">
        <v>0.215</v>
      </c>
      <c r="AJ20" s="45">
        <f t="shared" si="26"/>
        <v>17.558399999999999</v>
      </c>
      <c r="AK20">
        <f t="shared" si="27"/>
        <v>13.901878578791214</v>
      </c>
      <c r="AL20">
        <f t="shared" si="9"/>
        <v>52.644054286198468</v>
      </c>
      <c r="AM20">
        <f t="shared" si="33"/>
        <v>36.175189783914774</v>
      </c>
      <c r="AN20">
        <f t="shared" si="10"/>
        <v>904.5941110290222</v>
      </c>
      <c r="AP20" s="41" t="s">
        <v>31</v>
      </c>
      <c r="AQ20">
        <v>0.67500000000000004</v>
      </c>
      <c r="AR20" s="45">
        <f t="shared" si="34"/>
        <v>20.45790573089565</v>
      </c>
      <c r="AS20">
        <f t="shared" si="35"/>
        <v>15</v>
      </c>
      <c r="AT20">
        <f t="shared" si="11"/>
        <v>233.38966743936277</v>
      </c>
      <c r="AU20">
        <f t="shared" si="36"/>
        <v>36.175189783914774</v>
      </c>
      <c r="AV20">
        <f t="shared" si="12"/>
        <v>4010.3848687812588</v>
      </c>
      <c r="AX20">
        <f t="shared" si="28"/>
        <v>12.800000000000002</v>
      </c>
      <c r="AY20">
        <f t="shared" si="13"/>
        <v>46.976000000000006</v>
      </c>
      <c r="AZ20">
        <f t="shared" si="14"/>
        <v>66.203210662744723</v>
      </c>
      <c r="BA20">
        <f t="shared" si="15"/>
        <v>15.55775450574501</v>
      </c>
      <c r="BB20">
        <f t="shared" si="16"/>
        <v>81.760965168489733</v>
      </c>
      <c r="BC20">
        <f t="shared" si="17"/>
        <v>128.73696516848975</v>
      </c>
      <c r="BH20">
        <f t="shared" si="18"/>
        <v>217.05113870348868</v>
      </c>
      <c r="BI20">
        <f t="shared" si="37"/>
        <v>17.992050955149278</v>
      </c>
      <c r="BJ20">
        <f t="shared" si="38"/>
        <v>17.992050955149271</v>
      </c>
    </row>
    <row r="21" spans="1:62">
      <c r="A21" s="39">
        <v>17</v>
      </c>
      <c r="B21" s="41" t="s">
        <v>106</v>
      </c>
      <c r="C21">
        <v>0.88100000000000001</v>
      </c>
      <c r="D21" s="45">
        <f t="shared" si="19"/>
        <v>6.3240000000000007</v>
      </c>
      <c r="E21">
        <f t="shared" si="20"/>
        <v>7.5342146719757022</v>
      </c>
      <c r="F21">
        <f t="shared" si="0"/>
        <v>15.625601439674639</v>
      </c>
      <c r="G21">
        <f t="shared" si="29"/>
        <v>35.994313834995204</v>
      </c>
      <c r="H21">
        <f t="shared" si="1"/>
        <v>267.15558098809589</v>
      </c>
      <c r="J21" s="40" t="s">
        <v>117</v>
      </c>
      <c r="K21">
        <v>0.36</v>
      </c>
      <c r="L21" s="45">
        <f t="shared" si="2"/>
        <v>7.9050000000000002</v>
      </c>
      <c r="M21">
        <f t="shared" si="21"/>
        <v>7</v>
      </c>
      <c r="N21">
        <f t="shared" si="3"/>
        <v>9.3861275276431524</v>
      </c>
      <c r="O21">
        <f t="shared" si="30"/>
        <v>35.994313834995204</v>
      </c>
      <c r="P21">
        <f t="shared" si="4"/>
        <v>160.47742946450572</v>
      </c>
      <c r="R21" s="41" t="s">
        <v>111</v>
      </c>
      <c r="S21">
        <v>0.34</v>
      </c>
      <c r="T21" s="45">
        <f t="shared" si="5"/>
        <v>36.363</v>
      </c>
      <c r="U21">
        <f t="shared" si="22"/>
        <v>29.308620788856356</v>
      </c>
      <c r="V21">
        <f t="shared" si="6"/>
        <v>706.20977720101848</v>
      </c>
      <c r="W21">
        <f t="shared" si="31"/>
        <v>35.994313834995204</v>
      </c>
      <c r="X21">
        <f t="shared" si="7"/>
        <v>12074.279768109862</v>
      </c>
      <c r="Z21" s="40" t="s">
        <v>86</v>
      </c>
      <c r="AA21">
        <v>0.6</v>
      </c>
      <c r="AB21" s="45">
        <f t="shared" si="23"/>
        <v>23.715</v>
      </c>
      <c r="AC21">
        <f t="shared" si="24"/>
        <v>8</v>
      </c>
      <c r="AD21">
        <f t="shared" si="8"/>
        <v>150.29746641497596</v>
      </c>
      <c r="AE21">
        <f t="shared" si="32"/>
        <v>35.994313834995204</v>
      </c>
      <c r="AF21">
        <f t="shared" si="25"/>
        <v>2569.6807330040156</v>
      </c>
      <c r="AH21" s="41" t="s">
        <v>125</v>
      </c>
      <c r="AI21">
        <v>0.215</v>
      </c>
      <c r="AJ21" s="45">
        <f t="shared" si="26"/>
        <v>18.655799999999999</v>
      </c>
      <c r="AK21">
        <f t="shared" si="27"/>
        <v>14.384635352142718</v>
      </c>
      <c r="AL21">
        <f t="shared" si="9"/>
        <v>61.265075631338171</v>
      </c>
      <c r="AM21">
        <f t="shared" si="33"/>
        <v>35.994313834995204</v>
      </c>
      <c r="AN21">
        <f t="shared" si="10"/>
        <v>1047.467320714574</v>
      </c>
      <c r="AP21" s="41" t="s">
        <v>31</v>
      </c>
      <c r="AQ21">
        <v>0.67500000000000004</v>
      </c>
      <c r="AR21" s="45">
        <f t="shared" si="34"/>
        <v>21.041335266393169</v>
      </c>
      <c r="AS21">
        <f t="shared" si="35"/>
        <v>15</v>
      </c>
      <c r="AT21">
        <f t="shared" si="11"/>
        <v>246.55833567535828</v>
      </c>
      <c r="AU21">
        <f t="shared" si="36"/>
        <v>35.994313834995204</v>
      </c>
      <c r="AV21">
        <f t="shared" si="12"/>
        <v>4215.4816036431457</v>
      </c>
      <c r="AX21">
        <f t="shared" si="28"/>
        <v>13.600000000000003</v>
      </c>
      <c r="AY21">
        <f t="shared" si="13"/>
        <v>49.912000000000013</v>
      </c>
      <c r="AZ21">
        <f t="shared" si="14"/>
        <v>74.627770739841807</v>
      </c>
      <c r="BA21">
        <f t="shared" si="15"/>
        <v>17.537526123862826</v>
      </c>
      <c r="BB21">
        <f t="shared" si="16"/>
        <v>92.16529686370464</v>
      </c>
      <c r="BC21">
        <f t="shared" si="17"/>
        <v>142.07729686370465</v>
      </c>
      <c r="BH21">
        <f t="shared" si="18"/>
        <v>215.96588300997124</v>
      </c>
      <c r="BI21">
        <f t="shared" si="37"/>
        <v>19.000689211065531</v>
      </c>
      <c r="BJ21">
        <f t="shared" si="38"/>
        <v>19.000689211065527</v>
      </c>
    </row>
    <row r="22" spans="1:62">
      <c r="A22" s="39">
        <v>18</v>
      </c>
      <c r="B22" s="41" t="s">
        <v>106</v>
      </c>
      <c r="C22">
        <v>0.88100000000000001</v>
      </c>
      <c r="D22" s="45">
        <f t="shared" si="19"/>
        <v>6.6960000000000006</v>
      </c>
      <c r="E22">
        <f t="shared" si="20"/>
        <v>7.8116432153777851</v>
      </c>
      <c r="F22">
        <f t="shared" si="0"/>
        <v>18.097554001825131</v>
      </c>
      <c r="G22">
        <f t="shared" si="29"/>
        <v>35.81434226582023</v>
      </c>
      <c r="H22">
        <f t="shared" si="1"/>
        <v>307.87219676787663</v>
      </c>
      <c r="J22" s="40" t="s">
        <v>117</v>
      </c>
      <c r="K22">
        <v>0.36</v>
      </c>
      <c r="L22" s="45">
        <f t="shared" si="2"/>
        <v>8.370000000000001</v>
      </c>
      <c r="M22">
        <f t="shared" si="21"/>
        <v>7</v>
      </c>
      <c r="N22">
        <f t="shared" si="3"/>
        <v>10.494024795645997</v>
      </c>
      <c r="O22">
        <f t="shared" si="30"/>
        <v>35.81434226582023</v>
      </c>
      <c r="P22">
        <f t="shared" si="4"/>
        <v>178.52238299420318</v>
      </c>
      <c r="R22" s="41" t="s">
        <v>111</v>
      </c>
      <c r="S22">
        <v>0.34</v>
      </c>
      <c r="T22" s="45">
        <f t="shared" si="5"/>
        <v>38.502000000000002</v>
      </c>
      <c r="U22">
        <f t="shared" si="22"/>
        <v>30</v>
      </c>
      <c r="V22">
        <f t="shared" si="6"/>
        <v>807.74115917312599</v>
      </c>
      <c r="W22">
        <f t="shared" si="31"/>
        <v>35.81434226582023</v>
      </c>
      <c r="X22">
        <f t="shared" si="7"/>
        <v>13741.141209987938</v>
      </c>
      <c r="Z22" s="40" t="s">
        <v>86</v>
      </c>
      <c r="AA22">
        <v>0.6</v>
      </c>
      <c r="AB22" s="45">
        <f t="shared" si="23"/>
        <v>25.110000000000003</v>
      </c>
      <c r="AC22">
        <f t="shared" si="24"/>
        <v>8</v>
      </c>
      <c r="AD22">
        <f t="shared" si="8"/>
        <v>168.03791922029961</v>
      </c>
      <c r="AE22">
        <f t="shared" si="32"/>
        <v>35.81434226582023</v>
      </c>
      <c r="AF22">
        <f t="shared" si="25"/>
        <v>2858.6295874812295</v>
      </c>
      <c r="AH22" s="41" t="s">
        <v>125</v>
      </c>
      <c r="AI22">
        <v>0.215</v>
      </c>
      <c r="AJ22" s="45">
        <f t="shared" si="26"/>
        <v>19.7532</v>
      </c>
      <c r="AK22">
        <f t="shared" si="27"/>
        <v>14.851734433620361</v>
      </c>
      <c r="AL22">
        <f t="shared" si="9"/>
        <v>70.666543234478269</v>
      </c>
      <c r="AM22">
        <f t="shared" si="33"/>
        <v>35.81434226582023</v>
      </c>
      <c r="AN22">
        <f t="shared" si="10"/>
        <v>1202.1659889174441</v>
      </c>
      <c r="AP22" s="41" t="s">
        <v>31</v>
      </c>
      <c r="AQ22">
        <v>0.67500000000000004</v>
      </c>
      <c r="AR22" s="45">
        <f t="shared" si="34"/>
        <v>21.591407264159848</v>
      </c>
      <c r="AS22">
        <f t="shared" si="35"/>
        <v>15</v>
      </c>
      <c r="AT22">
        <f t="shared" si="11"/>
        <v>259.29672310718399</v>
      </c>
      <c r="AU22">
        <f t="shared" si="36"/>
        <v>35.81434226582023</v>
      </c>
      <c r="AV22">
        <f t="shared" si="12"/>
        <v>4411.1072551389943</v>
      </c>
      <c r="AX22">
        <f t="shared" si="28"/>
        <v>14.400000000000004</v>
      </c>
      <c r="AY22">
        <f t="shared" si="13"/>
        <v>52.848000000000013</v>
      </c>
      <c r="AZ22">
        <f t="shared" si="14"/>
        <v>83.306939740125813</v>
      </c>
      <c r="BA22">
        <f t="shared" si="15"/>
        <v>19.577130838929566</v>
      </c>
      <c r="BB22">
        <f t="shared" si="16"/>
        <v>102.88407057905538</v>
      </c>
      <c r="BC22">
        <f t="shared" si="17"/>
        <v>155.7320705790554</v>
      </c>
      <c r="BH22">
        <f t="shared" si="18"/>
        <v>214.88605359492141</v>
      </c>
      <c r="BI22">
        <f t="shared" si="37"/>
        <v>20.003767877359977</v>
      </c>
      <c r="BJ22">
        <f t="shared" si="38"/>
        <v>20.003767877359969</v>
      </c>
    </row>
    <row r="23" spans="1:62">
      <c r="A23" s="39">
        <v>19</v>
      </c>
      <c r="B23" s="41" t="s">
        <v>106</v>
      </c>
      <c r="C23">
        <v>0.88100000000000001</v>
      </c>
      <c r="D23" s="45">
        <f t="shared" si="19"/>
        <v>7.0680000000000005</v>
      </c>
      <c r="E23">
        <f t="shared" si="20"/>
        <v>8.0818111525406628</v>
      </c>
      <c r="F23">
        <f t="shared" si="0"/>
        <v>20.790593535622783</v>
      </c>
      <c r="G23">
        <f t="shared" si="29"/>
        <v>35.635270554491129</v>
      </c>
      <c r="H23">
        <f t="shared" si="1"/>
        <v>351.91725217442672</v>
      </c>
      <c r="J23" s="40" t="s">
        <v>117</v>
      </c>
      <c r="K23">
        <v>0.36</v>
      </c>
      <c r="L23" s="45">
        <f t="shared" si="2"/>
        <v>8.8350000000000009</v>
      </c>
      <c r="M23">
        <f t="shared" si="21"/>
        <v>7</v>
      </c>
      <c r="N23">
        <f t="shared" si="3"/>
        <v>11.662111386878614</v>
      </c>
      <c r="O23">
        <f t="shared" si="30"/>
        <v>35.635270554491129</v>
      </c>
      <c r="P23">
        <f t="shared" si="4"/>
        <v>197.4016848913148</v>
      </c>
      <c r="R23" s="41" t="s">
        <v>111</v>
      </c>
      <c r="S23">
        <v>0.34</v>
      </c>
      <c r="T23" s="45">
        <f t="shared" si="5"/>
        <v>40.640999999999998</v>
      </c>
      <c r="U23">
        <f t="shared" si="22"/>
        <v>30</v>
      </c>
      <c r="V23">
        <f t="shared" si="6"/>
        <v>897.65057291953497</v>
      </c>
      <c r="W23">
        <f t="shared" si="31"/>
        <v>35.635270554491129</v>
      </c>
      <c r="X23">
        <f t="shared" si="7"/>
        <v>15194.309988956256</v>
      </c>
      <c r="Z23" s="40" t="s">
        <v>86</v>
      </c>
      <c r="AA23">
        <v>0.6</v>
      </c>
      <c r="AB23" s="45">
        <f t="shared" si="23"/>
        <v>26.505000000000003</v>
      </c>
      <c r="AC23">
        <f t="shared" si="24"/>
        <v>8</v>
      </c>
      <c r="AD23">
        <f t="shared" si="8"/>
        <v>186.74216702627965</v>
      </c>
      <c r="AE23">
        <f t="shared" si="32"/>
        <v>35.635270554491129</v>
      </c>
      <c r="AF23">
        <f t="shared" si="25"/>
        <v>3160.9386318088873</v>
      </c>
      <c r="AH23" s="41" t="s">
        <v>125</v>
      </c>
      <c r="AI23">
        <v>0.215</v>
      </c>
      <c r="AJ23" s="45">
        <f t="shared" si="26"/>
        <v>20.8506</v>
      </c>
      <c r="AK23">
        <f t="shared" si="27"/>
        <v>15.304394066852215</v>
      </c>
      <c r="AL23">
        <f t="shared" si="9"/>
        <v>80.867678586095607</v>
      </c>
      <c r="AM23">
        <f t="shared" si="33"/>
        <v>35.635270554491129</v>
      </c>
      <c r="AN23">
        <f t="shared" si="10"/>
        <v>1368.827262626344</v>
      </c>
      <c r="AP23" s="41" t="s">
        <v>31</v>
      </c>
      <c r="AQ23">
        <v>0.67500000000000004</v>
      </c>
      <c r="AR23" s="45">
        <f t="shared" si="34"/>
        <v>22.111730737465329</v>
      </c>
      <c r="AS23">
        <f t="shared" si="35"/>
        <v>15</v>
      </c>
      <c r="AT23">
        <f t="shared" si="11"/>
        <v>271.634043360193</v>
      </c>
      <c r="AU23">
        <f t="shared" si="36"/>
        <v>35.635270554491129</v>
      </c>
      <c r="AV23">
        <f t="shared" si="12"/>
        <v>4597.8824978016546</v>
      </c>
      <c r="AX23">
        <f t="shared" si="28"/>
        <v>15.200000000000005</v>
      </c>
      <c r="AY23">
        <f t="shared" si="13"/>
        <v>55.784000000000013</v>
      </c>
      <c r="AZ23">
        <f t="shared" si="14"/>
        <v>91.277587758010114</v>
      </c>
      <c r="BA23">
        <f t="shared" si="15"/>
        <v>21.450233123132374</v>
      </c>
      <c r="BB23">
        <f t="shared" si="16"/>
        <v>112.72782088114249</v>
      </c>
      <c r="BC23">
        <f t="shared" si="17"/>
        <v>168.51182088114251</v>
      </c>
      <c r="BH23">
        <f t="shared" si="18"/>
        <v>213.81162332694674</v>
      </c>
      <c r="BI23">
        <f t="shared" si="37"/>
        <v>21.00188845624422</v>
      </c>
      <c r="BJ23">
        <f t="shared" si="38"/>
        <v>21.001888456244224</v>
      </c>
    </row>
    <row r="24" spans="1:62">
      <c r="A24" s="39">
        <v>20</v>
      </c>
      <c r="B24" s="41" t="s">
        <v>106</v>
      </c>
      <c r="C24">
        <v>0.88100000000000001</v>
      </c>
      <c r="D24" s="45">
        <f t="shared" si="19"/>
        <v>7.44</v>
      </c>
      <c r="E24">
        <f t="shared" si="20"/>
        <v>8.3452165344823772</v>
      </c>
      <c r="F24">
        <f t="shared" si="0"/>
        <v>23.710735629378988</v>
      </c>
      <c r="G24">
        <f t="shared" si="29"/>
        <v>35.457094201718675</v>
      </c>
      <c r="H24">
        <f t="shared" si="1"/>
        <v>399.33904873139556</v>
      </c>
      <c r="J24" s="40" t="s">
        <v>117</v>
      </c>
      <c r="K24">
        <v>0.36</v>
      </c>
      <c r="L24" s="45">
        <f t="shared" si="2"/>
        <v>9.3000000000000007</v>
      </c>
      <c r="M24">
        <f t="shared" si="21"/>
        <v>7</v>
      </c>
      <c r="N24">
        <f t="shared" si="3"/>
        <v>12.890231219220112</v>
      </c>
      <c r="O24">
        <f t="shared" si="30"/>
        <v>35.457094201718675</v>
      </c>
      <c r="P24">
        <f t="shared" si="4"/>
        <v>217.09881774536566</v>
      </c>
      <c r="R24" s="41" t="s">
        <v>111</v>
      </c>
      <c r="S24">
        <v>0.34</v>
      </c>
      <c r="T24" s="45">
        <f t="shared" si="5"/>
        <v>42.78</v>
      </c>
      <c r="U24">
        <f t="shared" si="22"/>
        <v>30</v>
      </c>
      <c r="V24">
        <f t="shared" si="6"/>
        <v>992.18083716958711</v>
      </c>
      <c r="W24">
        <f t="shared" si="31"/>
        <v>35.457094201718675</v>
      </c>
      <c r="X24">
        <f t="shared" si="7"/>
        <v>16710.428469114522</v>
      </c>
      <c r="Z24" s="40" t="s">
        <v>86</v>
      </c>
      <c r="AA24">
        <v>0.6</v>
      </c>
      <c r="AB24" s="45">
        <f t="shared" si="23"/>
        <v>27.900000000000002</v>
      </c>
      <c r="AC24">
        <f t="shared" si="24"/>
        <v>8</v>
      </c>
      <c r="AD24">
        <f t="shared" si="8"/>
        <v>206.40771053304442</v>
      </c>
      <c r="AE24">
        <f t="shared" si="32"/>
        <v>35.457094201718675</v>
      </c>
      <c r="AF24">
        <f t="shared" si="25"/>
        <v>3476.3433772573371</v>
      </c>
      <c r="AH24" s="41" t="s">
        <v>125</v>
      </c>
      <c r="AI24">
        <v>0.215</v>
      </c>
      <c r="AJ24" s="45">
        <f t="shared" si="26"/>
        <v>21.948</v>
      </c>
      <c r="AK24">
        <f t="shared" si="27"/>
        <v>15.743683069015908</v>
      </c>
      <c r="AL24">
        <f t="shared" si="9"/>
        <v>91.886928131355191</v>
      </c>
      <c r="AM24">
        <f t="shared" si="33"/>
        <v>35.457094201718675</v>
      </c>
      <c r="AN24">
        <f t="shared" si="10"/>
        <v>1547.570646663507</v>
      </c>
      <c r="AP24" s="41" t="s">
        <v>31</v>
      </c>
      <c r="AQ24">
        <v>0.67500000000000004</v>
      </c>
      <c r="AR24" s="45">
        <f t="shared" si="34"/>
        <v>22.60535893706513</v>
      </c>
      <c r="AS24">
        <f t="shared" si="35"/>
        <v>15</v>
      </c>
      <c r="AT24">
        <f t="shared" si="11"/>
        <v>283.59677148281878</v>
      </c>
      <c r="AU24">
        <f t="shared" si="36"/>
        <v>35.457094201718675</v>
      </c>
      <c r="AV24">
        <f t="shared" si="12"/>
        <v>4776.3707848405556</v>
      </c>
      <c r="AX24">
        <f t="shared" si="28"/>
        <v>16.000000000000004</v>
      </c>
      <c r="AY24">
        <f t="shared" si="13"/>
        <v>58.720000000000013</v>
      </c>
      <c r="AZ24">
        <f t="shared" si="14"/>
        <v>99.556644699774353</v>
      </c>
      <c r="BA24">
        <f t="shared" si="15"/>
        <v>23.395811504446971</v>
      </c>
      <c r="BB24">
        <f t="shared" si="16"/>
        <v>122.95245620422132</v>
      </c>
      <c r="BC24">
        <f t="shared" si="17"/>
        <v>181.67245620422133</v>
      </c>
      <c r="BH24">
        <f t="shared" si="18"/>
        <v>212.74256521031208</v>
      </c>
      <c r="BI24" s="30">
        <f t="shared" si="37"/>
        <v>21.995559822844186</v>
      </c>
      <c r="BJ24" s="30">
        <f t="shared" si="38"/>
        <v>21.995559822844186</v>
      </c>
    </row>
    <row r="25" spans="1:62">
      <c r="A25" s="39">
        <v>21</v>
      </c>
      <c r="B25" s="41" t="s">
        <v>106</v>
      </c>
      <c r="C25">
        <v>0.88100000000000001</v>
      </c>
      <c r="D25" s="45">
        <f t="shared" si="19"/>
        <v>7.8120000000000012</v>
      </c>
      <c r="E25">
        <f t="shared" si="20"/>
        <v>8.6023019416486282</v>
      </c>
      <c r="F25">
        <f t="shared" si="0"/>
        <v>26.863794878005294</v>
      </c>
      <c r="G25">
        <f t="shared" si="29"/>
        <v>35.27980873071008</v>
      </c>
      <c r="H25">
        <f t="shared" si="1"/>
        <v>450.18103391160156</v>
      </c>
      <c r="J25" s="40" t="s">
        <v>117</v>
      </c>
      <c r="K25">
        <v>0.36</v>
      </c>
      <c r="L25" s="45">
        <f t="shared" si="2"/>
        <v>9.7650000000000006</v>
      </c>
      <c r="M25">
        <f t="shared" si="21"/>
        <v>7</v>
      </c>
      <c r="N25">
        <f t="shared" si="3"/>
        <v>14.17823660007134</v>
      </c>
      <c r="O25">
        <f t="shared" si="30"/>
        <v>35.27980873071008</v>
      </c>
      <c r="P25">
        <f t="shared" si="4"/>
        <v>237.59760080990327</v>
      </c>
      <c r="R25" s="41" t="s">
        <v>111</v>
      </c>
      <c r="S25">
        <v>0.34</v>
      </c>
      <c r="T25" s="45">
        <f t="shared" si="5"/>
        <v>44.918999999999997</v>
      </c>
      <c r="U25">
        <f t="shared" si="22"/>
        <v>30</v>
      </c>
      <c r="V25">
        <f t="shared" si="6"/>
        <v>1091.3205837977491</v>
      </c>
      <c r="W25">
        <f t="shared" si="31"/>
        <v>35.27980873071008</v>
      </c>
      <c r="X25">
        <f t="shared" si="7"/>
        <v>18288.251193628937</v>
      </c>
      <c r="Z25" s="40" t="s">
        <v>86</v>
      </c>
      <c r="AA25">
        <v>0.6</v>
      </c>
      <c r="AB25" s="45">
        <f t="shared" si="23"/>
        <v>29.295000000000002</v>
      </c>
      <c r="AC25">
        <f t="shared" si="24"/>
        <v>8</v>
      </c>
      <c r="AD25">
        <f t="shared" si="8"/>
        <v>227.03218477981662</v>
      </c>
      <c r="AE25">
        <f t="shared" si="32"/>
        <v>35.27980873071008</v>
      </c>
      <c r="AF25">
        <f t="shared" si="25"/>
        <v>3804.5847260048999</v>
      </c>
      <c r="AH25" s="41" t="s">
        <v>125</v>
      </c>
      <c r="AI25">
        <v>0.215</v>
      </c>
      <c r="AJ25" s="45">
        <f t="shared" si="26"/>
        <v>23.045399999999997</v>
      </c>
      <c r="AK25">
        <f t="shared" si="27"/>
        <v>16.170545391106437</v>
      </c>
      <c r="AL25">
        <f t="shared" si="9"/>
        <v>103.74202811627814</v>
      </c>
      <c r="AM25">
        <f t="shared" si="33"/>
        <v>35.27980873071008</v>
      </c>
      <c r="AN25">
        <f t="shared" si="10"/>
        <v>1738.4994819071637</v>
      </c>
      <c r="AP25" s="41" t="s">
        <v>31</v>
      </c>
      <c r="AQ25">
        <v>0.67500000000000004</v>
      </c>
      <c r="AR25" s="45">
        <f t="shared" si="34"/>
        <v>23.074897912572649</v>
      </c>
      <c r="AS25">
        <f t="shared" si="35"/>
        <v>15</v>
      </c>
      <c r="AT25">
        <f t="shared" si="11"/>
        <v>295.20892419862867</v>
      </c>
      <c r="AU25">
        <f t="shared" si="36"/>
        <v>35.27980873071008</v>
      </c>
      <c r="AV25">
        <f t="shared" si="12"/>
        <v>4947.0843311299968</v>
      </c>
      <c r="AX25">
        <f t="shared" si="28"/>
        <v>16.800000000000004</v>
      </c>
      <c r="AY25">
        <f t="shared" si="13"/>
        <v>61.656000000000013</v>
      </c>
      <c r="AZ25">
        <f t="shared" si="14"/>
        <v>108.1409480083305</v>
      </c>
      <c r="BA25">
        <f t="shared" si="15"/>
        <v>25.413122781957664</v>
      </c>
      <c r="BB25">
        <f t="shared" si="16"/>
        <v>133.55407079028816</v>
      </c>
      <c r="BC25">
        <f t="shared" si="17"/>
        <v>195.21007079028817</v>
      </c>
      <c r="BH25">
        <f t="shared" si="18"/>
        <v>211.67885238426047</v>
      </c>
      <c r="BI25">
        <f t="shared" si="37"/>
        <v>22.985216318762109</v>
      </c>
      <c r="BJ25">
        <f t="shared" si="38"/>
        <v>22.985216318762109</v>
      </c>
    </row>
    <row r="26" spans="1:62">
      <c r="A26" s="39">
        <v>22</v>
      </c>
      <c r="B26" s="41" t="s">
        <v>106</v>
      </c>
      <c r="C26">
        <v>0.88100000000000001</v>
      </c>
      <c r="D26" s="45">
        <f t="shared" si="19"/>
        <v>8.1840000000000011</v>
      </c>
      <c r="E26">
        <f t="shared" si="20"/>
        <v>8.8534628869504211</v>
      </c>
      <c r="F26">
        <f t="shared" si="0"/>
        <v>30.255399890044405</v>
      </c>
      <c r="G26">
        <f t="shared" si="29"/>
        <v>35.103409687056526</v>
      </c>
      <c r="H26">
        <f t="shared" si="1"/>
        <v>504.48215635332798</v>
      </c>
      <c r="J26" s="40" t="s">
        <v>117</v>
      </c>
      <c r="K26">
        <v>0.36</v>
      </c>
      <c r="L26" s="45">
        <f t="shared" si="2"/>
        <v>10.23</v>
      </c>
      <c r="M26">
        <f t="shared" si="21"/>
        <v>7</v>
      </c>
      <c r="N26">
        <f t="shared" si="3"/>
        <v>15.525987387624351</v>
      </c>
      <c r="O26">
        <f t="shared" si="30"/>
        <v>35.103409687056526</v>
      </c>
      <c r="P26">
        <f t="shared" si="4"/>
        <v>258.8821706303288</v>
      </c>
      <c r="R26" s="41" t="s">
        <v>111</v>
      </c>
      <c r="S26">
        <v>0.34</v>
      </c>
      <c r="T26" s="45">
        <f t="shared" si="5"/>
        <v>47.058</v>
      </c>
      <c r="U26">
        <f t="shared" si="22"/>
        <v>30</v>
      </c>
      <c r="V26">
        <f t="shared" si="6"/>
        <v>1195.0590258744487</v>
      </c>
      <c r="W26">
        <f t="shared" si="31"/>
        <v>35.103409687056526</v>
      </c>
      <c r="X26">
        <f t="shared" si="7"/>
        <v>19926.557128105593</v>
      </c>
      <c r="Z26" s="40" t="s">
        <v>86</v>
      </c>
      <c r="AA26">
        <v>0.6</v>
      </c>
      <c r="AB26" s="45">
        <f t="shared" si="23"/>
        <v>30.69</v>
      </c>
      <c r="AC26">
        <f t="shared" si="24"/>
        <v>8</v>
      </c>
      <c r="AD26">
        <f t="shared" si="8"/>
        <v>248.61334571455106</v>
      </c>
      <c r="AE26">
        <f t="shared" si="32"/>
        <v>35.103409687056526</v>
      </c>
      <c r="AF26">
        <f t="shared" si="25"/>
        <v>4145.4086609366595</v>
      </c>
      <c r="AH26" s="41" t="s">
        <v>125</v>
      </c>
      <c r="AI26">
        <v>0.215</v>
      </c>
      <c r="AJ26" s="45">
        <f t="shared" si="26"/>
        <v>24.142799999999998</v>
      </c>
      <c r="AK26">
        <f t="shared" si="27"/>
        <v>16.585819699337446</v>
      </c>
      <c r="AL26">
        <f t="shared" si="9"/>
        <v>116.4500612507253</v>
      </c>
      <c r="AM26">
        <f t="shared" si="33"/>
        <v>35.103409687056526</v>
      </c>
      <c r="AN26">
        <f t="shared" si="10"/>
        <v>1941.7022488793421</v>
      </c>
      <c r="AP26" s="41" t="s">
        <v>31</v>
      </c>
      <c r="AQ26">
        <v>0.67500000000000004</v>
      </c>
      <c r="AR26" s="45">
        <f t="shared" si="34"/>
        <v>23.522589795837231</v>
      </c>
      <c r="AS26">
        <f t="shared" si="35"/>
        <v>15</v>
      </c>
      <c r="AT26">
        <f t="shared" si="11"/>
        <v>306.49232176019245</v>
      </c>
      <c r="AU26">
        <f t="shared" si="36"/>
        <v>35.103409687056526</v>
      </c>
      <c r="AV26">
        <f t="shared" si="12"/>
        <v>5110.4896299254624</v>
      </c>
      <c r="AX26">
        <f t="shared" si="28"/>
        <v>17.600000000000005</v>
      </c>
      <c r="AY26">
        <f t="shared" si="13"/>
        <v>64.592000000000013</v>
      </c>
      <c r="AZ26">
        <f t="shared" si="14"/>
        <v>117.02720572102872</v>
      </c>
      <c r="BA26">
        <f t="shared" si="15"/>
        <v>27.501393344441748</v>
      </c>
      <c r="BB26">
        <f t="shared" si="16"/>
        <v>144.52859906547047</v>
      </c>
      <c r="BC26">
        <f t="shared" si="17"/>
        <v>209.12059906547049</v>
      </c>
      <c r="BH26">
        <f t="shared" si="18"/>
        <v>210.62045812233913</v>
      </c>
      <c r="BI26">
        <f t="shared" si="37"/>
        <v>23.97123163263954</v>
      </c>
      <c r="BJ26">
        <f t="shared" si="38"/>
        <v>23.97123163263954</v>
      </c>
    </row>
    <row r="27" spans="1:62">
      <c r="A27" s="39">
        <v>23</v>
      </c>
      <c r="B27" s="41" t="s">
        <v>106</v>
      </c>
      <c r="C27">
        <v>0.88100000000000001</v>
      </c>
      <c r="D27" s="45">
        <f t="shared" si="19"/>
        <v>8.5560000000000009</v>
      </c>
      <c r="E27">
        <f t="shared" si="20"/>
        <v>9.0990546340281195</v>
      </c>
      <c r="F27">
        <f t="shared" si="0"/>
        <v>33.891006560556306</v>
      </c>
      <c r="G27">
        <f t="shared" si="29"/>
        <v>34.927892638621245</v>
      </c>
      <c r="H27">
        <f t="shared" si="1"/>
        <v>562.27718331691142</v>
      </c>
      <c r="J27" s="40" t="s">
        <v>117</v>
      </c>
      <c r="K27">
        <v>0.36</v>
      </c>
      <c r="L27" s="45">
        <f t="shared" si="2"/>
        <v>10.695</v>
      </c>
      <c r="M27">
        <f t="shared" si="21"/>
        <v>7</v>
      </c>
      <c r="N27">
        <f t="shared" si="3"/>
        <v>16.933350271180728</v>
      </c>
      <c r="O27">
        <f t="shared" si="30"/>
        <v>34.927892638621245</v>
      </c>
      <c r="P27">
        <f t="shared" si="4"/>
        <v>280.93696413488499</v>
      </c>
      <c r="R27" s="41" t="s">
        <v>111</v>
      </c>
      <c r="S27">
        <v>0.34</v>
      </c>
      <c r="T27" s="45">
        <f t="shared" si="5"/>
        <v>49.197000000000003</v>
      </c>
      <c r="U27">
        <f t="shared" si="22"/>
        <v>30</v>
      </c>
      <c r="V27">
        <f t="shared" si="6"/>
        <v>1303.3859022710749</v>
      </c>
      <c r="W27">
        <f t="shared" si="31"/>
        <v>34.927892638621245</v>
      </c>
      <c r="X27">
        <f t="shared" si="7"/>
        <v>21624.148359077877</v>
      </c>
      <c r="Z27" s="40" t="s">
        <v>86</v>
      </c>
      <c r="AA27">
        <v>0.6</v>
      </c>
      <c r="AB27" s="45">
        <f t="shared" si="23"/>
        <v>32.085000000000001</v>
      </c>
      <c r="AC27">
        <f t="shared" si="24"/>
        <v>8</v>
      </c>
      <c r="AD27">
        <f t="shared" si="8"/>
        <v>271.14905866987186</v>
      </c>
      <c r="AE27">
        <f t="shared" si="32"/>
        <v>34.927892638621245</v>
      </c>
      <c r="AF27">
        <f t="shared" si="25"/>
        <v>4498.5659748851367</v>
      </c>
      <c r="AH27" s="41" t="s">
        <v>125</v>
      </c>
      <c r="AI27">
        <v>0.215</v>
      </c>
      <c r="AJ27" s="45">
        <f t="shared" si="26"/>
        <v>25.240199999999998</v>
      </c>
      <c r="AK27">
        <f t="shared" si="27"/>
        <v>16.990255162363553</v>
      </c>
      <c r="AL27">
        <f t="shared" si="9"/>
        <v>130.02750654534339</v>
      </c>
      <c r="AM27">
        <f t="shared" si="33"/>
        <v>34.927892638621245</v>
      </c>
      <c r="AN27">
        <f t="shared" si="10"/>
        <v>2157.2537246246029</v>
      </c>
      <c r="AP27" s="41" t="s">
        <v>31</v>
      </c>
      <c r="AQ27">
        <v>0.67500000000000004</v>
      </c>
      <c r="AR27" s="45">
        <f t="shared" si="34"/>
        <v>23.95037755618441</v>
      </c>
      <c r="AS27">
        <f t="shared" si="35"/>
        <v>15</v>
      </c>
      <c r="AT27">
        <f t="shared" si="11"/>
        <v>317.46682601663952</v>
      </c>
      <c r="AU27">
        <f t="shared" si="36"/>
        <v>34.927892638621245</v>
      </c>
      <c r="AV27">
        <f t="shared" si="12"/>
        <v>5267.012427330691</v>
      </c>
      <c r="AX27">
        <f t="shared" si="28"/>
        <v>18.400000000000006</v>
      </c>
      <c r="AY27">
        <f t="shared" si="13"/>
        <v>67.52800000000002</v>
      </c>
      <c r="AZ27">
        <f t="shared" si="14"/>
        <v>126.21201430446828</v>
      </c>
      <c r="BA27">
        <f t="shared" si="15"/>
        <v>29.659823361550046</v>
      </c>
      <c r="BB27">
        <f t="shared" si="16"/>
        <v>155.87183766601834</v>
      </c>
      <c r="BC27">
        <f t="shared" si="17"/>
        <v>223.39983766601836</v>
      </c>
      <c r="BH27">
        <f t="shared" si="18"/>
        <v>209.56735583172747</v>
      </c>
      <c r="BI27">
        <f t="shared" si="37"/>
        <v>24.953929592697406</v>
      </c>
      <c r="BJ27">
        <f t="shared" si="38"/>
        <v>24.953929592697406</v>
      </c>
    </row>
    <row r="28" spans="1:62">
      <c r="A28" s="39">
        <v>24</v>
      </c>
      <c r="B28" s="41" t="s">
        <v>106</v>
      </c>
      <c r="C28">
        <v>0.88100000000000001</v>
      </c>
      <c r="D28" s="45">
        <f t="shared" si="19"/>
        <v>8.9280000000000026</v>
      </c>
      <c r="E28">
        <f t="shared" si="20"/>
        <v>9.3393977838929612</v>
      </c>
      <c r="F28">
        <f t="shared" si="0"/>
        <v>37.775909876734268</v>
      </c>
      <c r="G28">
        <f t="shared" si="29"/>
        <v>34.753253175428135</v>
      </c>
      <c r="H28">
        <f t="shared" si="1"/>
        <v>623.59698594219356</v>
      </c>
      <c r="J28" s="40" t="s">
        <v>117</v>
      </c>
      <c r="K28">
        <v>0.36</v>
      </c>
      <c r="L28" s="45">
        <f t="shared" si="2"/>
        <v>11.16</v>
      </c>
      <c r="M28">
        <f t="shared" si="21"/>
        <v>7</v>
      </c>
      <c r="N28">
        <f t="shared" si="3"/>
        <v>18.4001981490653</v>
      </c>
      <c r="O28">
        <f t="shared" si="30"/>
        <v>34.753253175428135</v>
      </c>
      <c r="P28">
        <f t="shared" si="4"/>
        <v>303.7467037574425</v>
      </c>
      <c r="R28" s="41" t="s">
        <v>111</v>
      </c>
      <c r="S28">
        <v>0.34</v>
      </c>
      <c r="T28" s="45">
        <f t="shared" si="5"/>
        <v>51.335999999999999</v>
      </c>
      <c r="U28">
        <f t="shared" si="22"/>
        <v>30</v>
      </c>
      <c r="V28">
        <f t="shared" si="6"/>
        <v>1416.2914297770417</v>
      </c>
      <c r="W28">
        <f t="shared" si="31"/>
        <v>34.753253175428135</v>
      </c>
      <c r="X28">
        <f t="shared" si="7"/>
        <v>23379.848948884544</v>
      </c>
      <c r="Z28" s="40" t="s">
        <v>86</v>
      </c>
      <c r="AA28">
        <v>0.6</v>
      </c>
      <c r="AB28" s="45">
        <f t="shared" si="23"/>
        <v>33.480000000000004</v>
      </c>
      <c r="AC28">
        <f t="shared" si="24"/>
        <v>8</v>
      </c>
      <c r="AD28">
        <f t="shared" si="8"/>
        <v>294.63728840177606</v>
      </c>
      <c r="AE28">
        <f t="shared" si="32"/>
        <v>34.753253175428135</v>
      </c>
      <c r="AF28">
        <f t="shared" si="25"/>
        <v>4863.8120324055653</v>
      </c>
      <c r="AH28" s="41" t="s">
        <v>125</v>
      </c>
      <c r="AI28">
        <v>0.215</v>
      </c>
      <c r="AJ28" s="45">
        <f t="shared" si="26"/>
        <v>26.337600000000002</v>
      </c>
      <c r="AK28">
        <f t="shared" si="27"/>
        <v>17.384524308757829</v>
      </c>
      <c r="AL28">
        <f t="shared" si="9"/>
        <v>144.49028340484961</v>
      </c>
      <c r="AM28">
        <f t="shared" si="33"/>
        <v>34.753253175428135</v>
      </c>
      <c r="AN28">
        <f t="shared" si="10"/>
        <v>2385.2160152650977</v>
      </c>
      <c r="AP28" s="41" t="s">
        <v>31</v>
      </c>
      <c r="AQ28">
        <v>0.67500000000000004</v>
      </c>
      <c r="AR28" s="45">
        <f t="shared" si="34"/>
        <v>24.359955963889707</v>
      </c>
      <c r="AS28">
        <f t="shared" si="35"/>
        <v>15</v>
      </c>
      <c r="AT28">
        <f t="shared" si="11"/>
        <v>328.15055351727852</v>
      </c>
      <c r="AU28">
        <f t="shared" si="36"/>
        <v>34.753253175428135</v>
      </c>
      <c r="AV28">
        <f t="shared" si="12"/>
        <v>5417.0421513703586</v>
      </c>
      <c r="AX28">
        <f t="shared" si="28"/>
        <v>19.200000000000006</v>
      </c>
      <c r="AY28">
        <f t="shared" si="13"/>
        <v>70.464000000000027</v>
      </c>
      <c r="AZ28">
        <f t="shared" si="14"/>
        <v>135.69187461408447</v>
      </c>
      <c r="BA28">
        <f t="shared" si="15"/>
        <v>31.887590534309847</v>
      </c>
      <c r="BB28">
        <f t="shared" si="16"/>
        <v>167.57946514839432</v>
      </c>
      <c r="BC28">
        <f t="shared" si="17"/>
        <v>238.04346514839435</v>
      </c>
      <c r="BH28">
        <f t="shared" si="18"/>
        <v>208.51951905256882</v>
      </c>
      <c r="BI28">
        <f t="shared" si="37"/>
        <v>25.933592660648287</v>
      </c>
      <c r="BJ28">
        <f t="shared" si="38"/>
        <v>25.933592660648284</v>
      </c>
    </row>
    <row r="29" spans="1:62">
      <c r="A29" s="39">
        <v>25</v>
      </c>
      <c r="B29" s="41" t="s">
        <v>106</v>
      </c>
      <c r="C29">
        <v>0.88100000000000001</v>
      </c>
      <c r="D29" s="45">
        <f t="shared" si="19"/>
        <v>9.3000000000000007</v>
      </c>
      <c r="E29">
        <f t="shared" si="20"/>
        <v>9.5747828932343708</v>
      </c>
      <c r="F29">
        <f t="shared" si="0"/>
        <v>41.91525447256717</v>
      </c>
      <c r="G29">
        <f t="shared" si="29"/>
        <v>34.579486909550994</v>
      </c>
      <c r="H29">
        <f t="shared" si="1"/>
        <v>688.46879683870179</v>
      </c>
      <c r="J29" s="40" t="s">
        <v>117</v>
      </c>
      <c r="K29">
        <v>0.36</v>
      </c>
      <c r="L29" s="45">
        <f t="shared" si="2"/>
        <v>11.625</v>
      </c>
      <c r="M29">
        <f t="shared" si="21"/>
        <v>7</v>
      </c>
      <c r="N29">
        <f t="shared" si="3"/>
        <v>19.926409587299474</v>
      </c>
      <c r="O29">
        <f t="shared" si="30"/>
        <v>34.579486909550994</v>
      </c>
      <c r="P29">
        <f t="shared" si="4"/>
        <v>327.29638425222743</v>
      </c>
      <c r="R29" s="41" t="s">
        <v>111</v>
      </c>
      <c r="S29">
        <v>0.34</v>
      </c>
      <c r="T29" s="45">
        <f t="shared" si="5"/>
        <v>53.474999999999994</v>
      </c>
      <c r="U29">
        <f t="shared" si="22"/>
        <v>30</v>
      </c>
      <c r="V29">
        <f t="shared" si="6"/>
        <v>1533.7662614330552</v>
      </c>
      <c r="W29">
        <f t="shared" si="31"/>
        <v>34.579486909550994</v>
      </c>
      <c r="X29">
        <f t="shared" si="7"/>
        <v>25192.503920779269</v>
      </c>
      <c r="Z29" s="40" t="s">
        <v>86</v>
      </c>
      <c r="AA29">
        <v>0.6</v>
      </c>
      <c r="AB29" s="45">
        <f t="shared" si="23"/>
        <v>34.875</v>
      </c>
      <c r="AC29">
        <f t="shared" si="24"/>
        <v>8</v>
      </c>
      <c r="AD29">
        <f t="shared" si="8"/>
        <v>319.0760904215212</v>
      </c>
      <c r="AE29">
        <f t="shared" si="32"/>
        <v>34.579486909550994</v>
      </c>
      <c r="AF29">
        <f t="shared" si="25"/>
        <v>5240.9065586438082</v>
      </c>
      <c r="AH29" s="41" t="s">
        <v>125</v>
      </c>
      <c r="AI29">
        <v>0.215</v>
      </c>
      <c r="AJ29" s="45">
        <f t="shared" si="26"/>
        <v>27.435000000000002</v>
      </c>
      <c r="AK29">
        <f t="shared" si="27"/>
        <v>17.769233595054022</v>
      </c>
      <c r="AL29">
        <f t="shared" si="9"/>
        <v>159.85379085016601</v>
      </c>
      <c r="AM29">
        <f t="shared" si="33"/>
        <v>34.579486909550994</v>
      </c>
      <c r="AN29">
        <f t="shared" si="10"/>
        <v>2625.6394823690734</v>
      </c>
      <c r="AP29" s="41" t="s">
        <v>31</v>
      </c>
      <c r="AQ29">
        <v>0.67500000000000004</v>
      </c>
      <c r="AR29" s="45">
        <f t="shared" si="34"/>
        <v>24.752812143234614</v>
      </c>
      <c r="AS29">
        <f t="shared" si="35"/>
        <v>15</v>
      </c>
      <c r="AT29">
        <f t="shared" si="11"/>
        <v>338.56006457057043</v>
      </c>
      <c r="AU29">
        <f t="shared" si="36"/>
        <v>34.579486909550994</v>
      </c>
      <c r="AV29">
        <f t="shared" si="12"/>
        <v>5560.9358274345204</v>
      </c>
      <c r="AX29">
        <f t="shared" si="28"/>
        <v>20.000000000000007</v>
      </c>
      <c r="AY29">
        <f t="shared" si="13"/>
        <v>73.40000000000002</v>
      </c>
      <c r="AZ29">
        <f t="shared" si="14"/>
        <v>145.46320606106559</v>
      </c>
      <c r="BA29">
        <f t="shared" si="15"/>
        <v>34.18385342435041</v>
      </c>
      <c r="BB29">
        <f t="shared" si="16"/>
        <v>179.64705948541601</v>
      </c>
      <c r="BC29">
        <f t="shared" si="17"/>
        <v>253.04705948541601</v>
      </c>
      <c r="BH29">
        <f t="shared" si="18"/>
        <v>207.47692145730599</v>
      </c>
      <c r="BI29" s="30">
        <f t="shared" si="37"/>
        <v>26.910468690539101</v>
      </c>
      <c r="BJ29" s="30">
        <f t="shared" si="38"/>
        <v>26.910468690539098</v>
      </c>
    </row>
    <row r="30" spans="1:62">
      <c r="A30" s="39">
        <v>26</v>
      </c>
      <c r="B30" s="41" t="s">
        <v>106</v>
      </c>
      <c r="C30">
        <v>0.88100000000000001</v>
      </c>
      <c r="D30" s="45">
        <f t="shared" si="19"/>
        <v>9.6720000000000006</v>
      </c>
      <c r="E30">
        <f t="shared" si="20"/>
        <v>9.8054743233127315</v>
      </c>
      <c r="F30">
        <f t="shared" si="0"/>
        <v>46.314044109543552</v>
      </c>
      <c r="G30">
        <f t="shared" si="29"/>
        <v>34.406589475003237</v>
      </c>
      <c r="H30">
        <f t="shared" si="1"/>
        <v>756.91644373702195</v>
      </c>
      <c r="J30" s="40" t="s">
        <v>117</v>
      </c>
      <c r="K30">
        <v>0.36</v>
      </c>
      <c r="L30" s="45">
        <f t="shared" si="2"/>
        <v>12.09</v>
      </c>
      <c r="M30">
        <f t="shared" si="21"/>
        <v>7</v>
      </c>
      <c r="N30">
        <f t="shared" si="3"/>
        <v>21.511868345673754</v>
      </c>
      <c r="O30">
        <f t="shared" si="30"/>
        <v>34.406589475003237</v>
      </c>
      <c r="P30">
        <f t="shared" si="4"/>
        <v>351.57126092970907</v>
      </c>
      <c r="R30" s="41" t="s">
        <v>111</v>
      </c>
      <c r="S30">
        <v>0.34</v>
      </c>
      <c r="T30" s="45">
        <f t="shared" si="5"/>
        <v>55.613999999999997</v>
      </c>
      <c r="U30">
        <f t="shared" si="22"/>
        <v>30</v>
      </c>
      <c r="V30">
        <f t="shared" si="6"/>
        <v>1655.8014500521788</v>
      </c>
      <c r="W30">
        <f t="shared" si="31"/>
        <v>34.406589475003237</v>
      </c>
      <c r="X30">
        <f t="shared" si="7"/>
        <v>27060.978353428683</v>
      </c>
      <c r="Z30" s="40" t="s">
        <v>86</v>
      </c>
      <c r="AA30">
        <v>0.6</v>
      </c>
      <c r="AB30" s="45">
        <f t="shared" si="23"/>
        <v>36.270000000000003</v>
      </c>
      <c r="AC30">
        <f t="shared" si="24"/>
        <v>8</v>
      </c>
      <c r="AD30">
        <f t="shared" si="8"/>
        <v>344.46360340675352</v>
      </c>
      <c r="AE30">
        <f t="shared" si="32"/>
        <v>34.406589475003237</v>
      </c>
      <c r="AF30">
        <f t="shared" si="25"/>
        <v>5629.6134509608346</v>
      </c>
      <c r="AH30" s="41" t="s">
        <v>125</v>
      </c>
      <c r="AI30">
        <v>0.215</v>
      </c>
      <c r="AJ30" s="45">
        <f t="shared" si="26"/>
        <v>28.532400000000003</v>
      </c>
      <c r="AK30">
        <f t="shared" si="27"/>
        <v>18.144932165164072</v>
      </c>
      <c r="AL30">
        <f t="shared" si="9"/>
        <v>176.13294257960499</v>
      </c>
      <c r="AM30">
        <f t="shared" si="33"/>
        <v>34.406589475003237</v>
      </c>
      <c r="AN30">
        <f t="shared" si="10"/>
        <v>2878.5635779713734</v>
      </c>
      <c r="AP30" s="41" t="s">
        <v>31</v>
      </c>
      <c r="AQ30">
        <v>0.67500000000000004</v>
      </c>
      <c r="AR30" s="45">
        <f t="shared" si="34"/>
        <v>25.13025816716506</v>
      </c>
      <c r="AS30">
        <f t="shared" si="35"/>
        <v>15</v>
      </c>
      <c r="AT30">
        <f t="shared" si="11"/>
        <v>348.71053013727311</v>
      </c>
      <c r="AU30">
        <f t="shared" si="36"/>
        <v>34.406589475003237</v>
      </c>
      <c r="AV30">
        <f t="shared" si="12"/>
        <v>5699.0215266208525</v>
      </c>
      <c r="AX30">
        <f t="shared" si="28"/>
        <v>20.800000000000008</v>
      </c>
      <c r="AY30">
        <f t="shared" si="13"/>
        <v>76.336000000000027</v>
      </c>
      <c r="AZ30">
        <f t="shared" si="14"/>
        <v>155.52235913208989</v>
      </c>
      <c r="BA30">
        <f t="shared" si="15"/>
        <v>36.547754396041121</v>
      </c>
      <c r="BB30">
        <f t="shared" si="16"/>
        <v>192.070113528131</v>
      </c>
      <c r="BC30">
        <f t="shared" si="17"/>
        <v>268.40611352813102</v>
      </c>
      <c r="BH30">
        <f t="shared" si="18"/>
        <v>206.43953685001944</v>
      </c>
      <c r="BI30">
        <f t="shared" si="37"/>
        <v>27.884776361194181</v>
      </c>
      <c r="BJ30">
        <f t="shared" si="38"/>
        <v>27.884776361194177</v>
      </c>
    </row>
    <row r="31" spans="1:62">
      <c r="A31" s="39">
        <v>27</v>
      </c>
      <c r="B31" s="41" t="s">
        <v>106</v>
      </c>
      <c r="C31">
        <v>0.88100000000000001</v>
      </c>
      <c r="D31" s="45">
        <f t="shared" si="19"/>
        <v>10.044</v>
      </c>
      <c r="E31">
        <f t="shared" si="20"/>
        <v>10.031713471559929</v>
      </c>
      <c r="F31">
        <f t="shared" si="0"/>
        <v>50.97715022947709</v>
      </c>
      <c r="G31">
        <f t="shared" si="29"/>
        <v>34.234556527628222</v>
      </c>
      <c r="H31">
        <f t="shared" si="1"/>
        <v>828.96056229550391</v>
      </c>
      <c r="J31" s="40" t="s">
        <v>117</v>
      </c>
      <c r="K31">
        <v>0.36</v>
      </c>
      <c r="L31" s="45">
        <f t="shared" si="2"/>
        <v>12.555000000000001</v>
      </c>
      <c r="M31">
        <f t="shared" si="21"/>
        <v>7</v>
      </c>
      <c r="N31">
        <f t="shared" si="3"/>
        <v>23.156462960507415</v>
      </c>
      <c r="O31">
        <f t="shared" si="30"/>
        <v>34.234556527628222</v>
      </c>
      <c r="P31">
        <f t="shared" si="4"/>
        <v>376.5568390956746</v>
      </c>
      <c r="R31" s="41" t="s">
        <v>111</v>
      </c>
      <c r="S31">
        <v>0.34</v>
      </c>
      <c r="T31" s="45">
        <f t="shared" si="5"/>
        <v>57.753</v>
      </c>
      <c r="U31">
        <f t="shared" si="22"/>
        <v>30</v>
      </c>
      <c r="V31">
        <f t="shared" si="6"/>
        <v>1782.388416104214</v>
      </c>
      <c r="W31">
        <f t="shared" si="31"/>
        <v>34.234556527628222</v>
      </c>
      <c r="X31">
        <f t="shared" si="7"/>
        <v>28984.156568021983</v>
      </c>
      <c r="Z31" s="40" t="s">
        <v>86</v>
      </c>
      <c r="AA31">
        <v>0.6</v>
      </c>
      <c r="AB31" s="45">
        <f t="shared" si="23"/>
        <v>37.664999999999999</v>
      </c>
      <c r="AC31">
        <f t="shared" si="24"/>
        <v>8</v>
      </c>
      <c r="AD31">
        <f t="shared" si="8"/>
        <v>370.79804252035512</v>
      </c>
      <c r="AE31">
        <f t="shared" si="32"/>
        <v>34.234556527628222</v>
      </c>
      <c r="AF31">
        <f t="shared" si="25"/>
        <v>6029.7006098235706</v>
      </c>
      <c r="AH31" s="41" t="s">
        <v>125</v>
      </c>
      <c r="AI31">
        <v>0.215</v>
      </c>
      <c r="AJ31" s="45">
        <f t="shared" si="26"/>
        <v>29.629799999999999</v>
      </c>
      <c r="AK31">
        <f t="shared" si="27"/>
        <v>18.512119166731441</v>
      </c>
      <c r="AL31">
        <f t="shared" si="9"/>
        <v>193.34219845233096</v>
      </c>
      <c r="AM31">
        <f t="shared" si="33"/>
        <v>34.234556527628222</v>
      </c>
      <c r="AN31">
        <f t="shared" si="10"/>
        <v>3144.017600493813</v>
      </c>
      <c r="AP31" s="41" t="s">
        <v>31</v>
      </c>
      <c r="AQ31">
        <v>0.67500000000000004</v>
      </c>
      <c r="AR31" s="45">
        <f t="shared" si="34"/>
        <v>25.493457497153905</v>
      </c>
      <c r="AS31">
        <f t="shared" si="35"/>
        <v>15</v>
      </c>
      <c r="AT31">
        <f t="shared" si="11"/>
        <v>358.61587878870461</v>
      </c>
      <c r="AU31">
        <f t="shared" si="36"/>
        <v>34.234556527628222</v>
      </c>
      <c r="AV31">
        <f t="shared" si="12"/>
        <v>5831.6013976960639</v>
      </c>
      <c r="AX31">
        <f t="shared" si="28"/>
        <v>21.600000000000009</v>
      </c>
      <c r="AY31">
        <f t="shared" si="13"/>
        <v>79.272000000000034</v>
      </c>
      <c r="AZ31">
        <f t="shared" si="14"/>
        <v>165.86562642915564</v>
      </c>
      <c r="BA31">
        <f t="shared" si="15"/>
        <v>38.978422210851576</v>
      </c>
      <c r="BB31">
        <f t="shared" si="16"/>
        <v>204.8440486400072</v>
      </c>
      <c r="BC31">
        <f t="shared" si="17"/>
        <v>284.11604864000725</v>
      </c>
      <c r="BH31">
        <f t="shared" si="18"/>
        <v>205.40733916576934</v>
      </c>
      <c r="BI31">
        <f t="shared" si="37"/>
        <v>28.856709582858983</v>
      </c>
      <c r="BJ31">
        <f t="shared" si="38"/>
        <v>28.856709582858983</v>
      </c>
    </row>
    <row r="32" spans="1:62">
      <c r="A32" s="39">
        <v>28</v>
      </c>
      <c r="B32" s="41" t="s">
        <v>106</v>
      </c>
      <c r="C32">
        <v>0.88100000000000001</v>
      </c>
      <c r="D32" s="45">
        <f t="shared" si="19"/>
        <v>10.416000000000002</v>
      </c>
      <c r="E32">
        <f t="shared" si="20"/>
        <v>10.25372150352122</v>
      </c>
      <c r="F32">
        <f t="shared" si="0"/>
        <v>55.909319700973043</v>
      </c>
      <c r="G32">
        <f t="shared" si="29"/>
        <v>34.063383744990084</v>
      </c>
      <c r="H32">
        <f t="shared" si="1"/>
        <v>904.6187906504</v>
      </c>
      <c r="J32" s="40" t="s">
        <v>117</v>
      </c>
      <c r="K32">
        <v>0.36</v>
      </c>
      <c r="L32" s="45">
        <f t="shared" si="2"/>
        <v>13.020000000000001</v>
      </c>
      <c r="M32">
        <f t="shared" si="21"/>
        <v>7</v>
      </c>
      <c r="N32">
        <f t="shared" si="3"/>
        <v>24.860086375427965</v>
      </c>
      <c r="O32">
        <f t="shared" si="30"/>
        <v>34.063383744990084</v>
      </c>
      <c r="P32">
        <f t="shared" si="4"/>
        <v>402.23886451640612</v>
      </c>
      <c r="R32" s="41" t="s">
        <v>111</v>
      </c>
      <c r="S32">
        <v>0.34</v>
      </c>
      <c r="T32" s="45">
        <f t="shared" si="5"/>
        <v>59.891999999999996</v>
      </c>
      <c r="U32">
        <f t="shared" si="22"/>
        <v>30</v>
      </c>
      <c r="V32">
        <f t="shared" si="6"/>
        <v>1913.5189192962125</v>
      </c>
      <c r="W32">
        <f t="shared" si="31"/>
        <v>34.063383744990084</v>
      </c>
      <c r="X32">
        <f t="shared" si="7"/>
        <v>30960.941394360656</v>
      </c>
      <c r="Z32" s="40" t="s">
        <v>86</v>
      </c>
      <c r="AA32">
        <v>0.6</v>
      </c>
      <c r="AB32" s="45">
        <f t="shared" si="23"/>
        <v>39.06</v>
      </c>
      <c r="AC32">
        <f t="shared" si="24"/>
        <v>8</v>
      </c>
      <c r="AD32">
        <f t="shared" si="8"/>
        <v>398.07769349821427</v>
      </c>
      <c r="AE32">
        <f t="shared" si="32"/>
        <v>34.063383744990084</v>
      </c>
      <c r="AF32">
        <f t="shared" si="25"/>
        <v>6440.9397861263524</v>
      </c>
      <c r="AH32" s="41" t="s">
        <v>125</v>
      </c>
      <c r="AI32">
        <v>0.215</v>
      </c>
      <c r="AJ32" s="45">
        <f t="shared" si="26"/>
        <v>30.7272</v>
      </c>
      <c r="AK32">
        <f t="shared" si="27"/>
        <v>18.87124990554026</v>
      </c>
      <c r="AL32">
        <f t="shared" si="9"/>
        <v>211.49559287696286</v>
      </c>
      <c r="AM32">
        <f t="shared" si="33"/>
        <v>34.063383744990084</v>
      </c>
      <c r="AN32">
        <f t="shared" si="10"/>
        <v>3422.0213817575341</v>
      </c>
      <c r="AP32" s="41" t="s">
        <v>31</v>
      </c>
      <c r="AQ32">
        <v>0.67500000000000004</v>
      </c>
      <c r="AR32" s="45">
        <f t="shared" si="34"/>
        <v>25.8434466123025</v>
      </c>
      <c r="AS32">
        <f t="shared" si="35"/>
        <v>15</v>
      </c>
      <c r="AT32">
        <f t="shared" si="11"/>
        <v>368.28892599652124</v>
      </c>
      <c r="AU32">
        <f t="shared" si="36"/>
        <v>34.063383744990084</v>
      </c>
      <c r="AV32">
        <f t="shared" si="12"/>
        <v>5958.9543322436348</v>
      </c>
      <c r="AX32">
        <f t="shared" si="28"/>
        <v>22.400000000000009</v>
      </c>
      <c r="AY32">
        <f t="shared" si="13"/>
        <v>82.208000000000027</v>
      </c>
      <c r="AZ32">
        <f t="shared" si="14"/>
        <v>176.4892523972338</v>
      </c>
      <c r="BA32">
        <f t="shared" si="15"/>
        <v>41.474974313349939</v>
      </c>
      <c r="BB32">
        <f t="shared" si="16"/>
        <v>217.96422671058374</v>
      </c>
      <c r="BC32">
        <f t="shared" si="17"/>
        <v>300.1722267105838</v>
      </c>
      <c r="BH32">
        <f t="shared" si="18"/>
        <v>204.38030246994052</v>
      </c>
      <c r="BI32">
        <f t="shared" si="37"/>
        <v>29.826441102050421</v>
      </c>
      <c r="BJ32">
        <f t="shared" si="38"/>
        <v>29.826441102050417</v>
      </c>
    </row>
    <row r="33" spans="1:62">
      <c r="A33" s="39">
        <v>29</v>
      </c>
      <c r="B33" s="41" t="s">
        <v>106</v>
      </c>
      <c r="C33">
        <v>0.88100000000000001</v>
      </c>
      <c r="D33" s="45">
        <f t="shared" si="19"/>
        <v>10.788000000000002</v>
      </c>
      <c r="E33">
        <f t="shared" si="20"/>
        <v>10.471701677036089</v>
      </c>
      <c r="F33">
        <f t="shared" si="0"/>
        <v>61.11518186135973</v>
      </c>
      <c r="G33">
        <f t="shared" si="29"/>
        <v>33.893066826265134</v>
      </c>
      <c r="H33">
        <f t="shared" si="1"/>
        <v>983.9059478900457</v>
      </c>
      <c r="J33" s="40" t="s">
        <v>117</v>
      </c>
      <c r="K33">
        <v>0.36</v>
      </c>
      <c r="L33" s="45">
        <f t="shared" si="2"/>
        <v>13.485000000000001</v>
      </c>
      <c r="M33">
        <f t="shared" si="21"/>
        <v>7</v>
      </c>
      <c r="N33">
        <f t="shared" si="3"/>
        <v>26.622635613094847</v>
      </c>
      <c r="O33">
        <f t="shared" si="30"/>
        <v>33.893066826265134</v>
      </c>
      <c r="P33">
        <f t="shared" si="4"/>
        <v>428.60331476481662</v>
      </c>
      <c r="R33" s="41" t="s">
        <v>111</v>
      </c>
      <c r="S33">
        <v>0.34</v>
      </c>
      <c r="T33" s="45">
        <f t="shared" si="5"/>
        <v>62.030999999999992</v>
      </c>
      <c r="U33">
        <f t="shared" si="22"/>
        <v>30</v>
      </c>
      <c r="V33">
        <f t="shared" si="6"/>
        <v>2049.1850333045809</v>
      </c>
      <c r="W33">
        <f t="shared" si="31"/>
        <v>33.893066826265134</v>
      </c>
      <c r="X33">
        <f t="shared" si="7"/>
        <v>32990.253504757886</v>
      </c>
      <c r="Z33" s="40" t="s">
        <v>86</v>
      </c>
      <c r="AA33">
        <v>0.6</v>
      </c>
      <c r="AB33" s="45">
        <f t="shared" si="23"/>
        <v>40.455000000000005</v>
      </c>
      <c r="AC33">
        <f t="shared" si="24"/>
        <v>8</v>
      </c>
      <c r="AD33">
        <f t="shared" si="8"/>
        <v>426.3009073926346</v>
      </c>
      <c r="AE33">
        <f t="shared" si="32"/>
        <v>33.893066826265134</v>
      </c>
      <c r="AF33">
        <f t="shared" si="25"/>
        <v>6863.1064426191133</v>
      </c>
      <c r="AH33" s="41" t="s">
        <v>125</v>
      </c>
      <c r="AI33">
        <v>0.215</v>
      </c>
      <c r="AJ33" s="45">
        <f t="shared" si="26"/>
        <v>31.8246</v>
      </c>
      <c r="AK33">
        <f t="shared" si="27"/>
        <v>19.222741056437883</v>
      </c>
      <c r="AL33">
        <f t="shared" si="9"/>
        <v>230.60676050806654</v>
      </c>
      <c r="AM33">
        <f t="shared" si="33"/>
        <v>33.893066826265134</v>
      </c>
      <c r="AN33">
        <f t="shared" si="10"/>
        <v>3712.5859136319987</v>
      </c>
      <c r="AP33" s="41" t="s">
        <v>31</v>
      </c>
      <c r="AQ33">
        <v>0.67500000000000004</v>
      </c>
      <c r="AR33" s="45">
        <f t="shared" si="34"/>
        <v>26.181152841291034</v>
      </c>
      <c r="AS33">
        <f t="shared" si="35"/>
        <v>15</v>
      </c>
      <c r="AT33">
        <f t="shared" si="11"/>
        <v>377.74148789874562</v>
      </c>
      <c r="AU33">
        <f t="shared" si="36"/>
        <v>33.893066826265134</v>
      </c>
      <c r="AV33">
        <f t="shared" si="12"/>
        <v>6081.3383088923783</v>
      </c>
      <c r="AX33">
        <f t="shared" si="28"/>
        <v>23.20000000000001</v>
      </c>
      <c r="AY33">
        <f t="shared" si="13"/>
        <v>85.144000000000034</v>
      </c>
      <c r="AZ33">
        <f t="shared" si="14"/>
        <v>187.38944189748142</v>
      </c>
      <c r="BA33">
        <f t="shared" si="15"/>
        <v>44.036518845908134</v>
      </c>
      <c r="BB33">
        <f t="shared" si="16"/>
        <v>231.42596074338957</v>
      </c>
      <c r="BC33">
        <f t="shared" si="17"/>
        <v>316.56996074338963</v>
      </c>
      <c r="BH33">
        <f t="shared" si="18"/>
        <v>203.35840095759082</v>
      </c>
      <c r="BI33">
        <f t="shared" si="37"/>
        <v>30.794125473548508</v>
      </c>
      <c r="BJ33">
        <f t="shared" si="38"/>
        <v>30.794125473548505</v>
      </c>
    </row>
    <row r="34" spans="1:62">
      <c r="A34" s="39">
        <v>30</v>
      </c>
      <c r="B34" s="41" t="s">
        <v>106</v>
      </c>
      <c r="C34">
        <v>0.88100000000000001</v>
      </c>
      <c r="D34" s="45">
        <f t="shared" si="19"/>
        <v>11.16</v>
      </c>
      <c r="E34">
        <f t="shared" si="20"/>
        <v>10.685841331129799</v>
      </c>
      <c r="F34">
        <f t="shared" si="0"/>
        <v>66.599254939982032</v>
      </c>
      <c r="G34">
        <f t="shared" si="29"/>
        <v>33.72360149213381</v>
      </c>
      <c r="H34">
        <f t="shared" si="1"/>
        <v>1066.8341983027647</v>
      </c>
      <c r="J34" s="40" t="s">
        <v>117</v>
      </c>
      <c r="K34">
        <v>0.36</v>
      </c>
      <c r="L34" s="45">
        <f t="shared" si="2"/>
        <v>13.950000000000001</v>
      </c>
      <c r="M34">
        <f t="shared" si="21"/>
        <v>7</v>
      </c>
      <c r="N34">
        <f>0.0673*(K34*L34^2*M34)^0.976</f>
        <v>28.444011482047564</v>
      </c>
      <c r="O34">
        <f t="shared" si="30"/>
        <v>33.72360149213381</v>
      </c>
      <c r="P34">
        <f>N34*O34*$F$2</f>
        <v>455.63639132766895</v>
      </c>
      <c r="R34" s="41" t="s">
        <v>111</v>
      </c>
      <c r="S34">
        <v>0.34</v>
      </c>
      <c r="T34" s="45">
        <f t="shared" si="5"/>
        <v>64.17</v>
      </c>
      <c r="U34">
        <f t="shared" si="22"/>
        <v>30</v>
      </c>
      <c r="V34">
        <f t="shared" si="6"/>
        <v>2189.3791232107005</v>
      </c>
      <c r="W34">
        <f t="shared" si="31"/>
        <v>33.72360149213381</v>
      </c>
      <c r="X34">
        <f t="shared" si="7"/>
        <v>35071.030806518625</v>
      </c>
      <c r="Z34" s="40" t="s">
        <v>86</v>
      </c>
      <c r="AA34">
        <v>0.6</v>
      </c>
      <c r="AB34" s="45">
        <f t="shared" si="23"/>
        <v>41.85</v>
      </c>
      <c r="AC34">
        <f t="shared" si="24"/>
        <v>8</v>
      </c>
      <c r="AD34">
        <f t="shared" si="8"/>
        <v>455.46609587816869</v>
      </c>
      <c r="AE34">
        <f t="shared" si="32"/>
        <v>33.72360149213381</v>
      </c>
      <c r="AF34">
        <f t="shared" si="25"/>
        <v>7295.9796275223507</v>
      </c>
      <c r="AH34" s="41" t="s">
        <v>125</v>
      </c>
      <c r="AI34">
        <v>0.215</v>
      </c>
      <c r="AJ34" s="45">
        <f t="shared" si="26"/>
        <v>32.921999999999997</v>
      </c>
      <c r="AK34">
        <f t="shared" si="27"/>
        <v>19.566975102181534</v>
      </c>
      <c r="AL34">
        <f t="shared" si="9"/>
        <v>250.68895958880751</v>
      </c>
      <c r="AM34">
        <f t="shared" si="33"/>
        <v>33.72360149213381</v>
      </c>
      <c r="AN34">
        <f t="shared" si="10"/>
        <v>4015.7139215340253</v>
      </c>
      <c r="AP34" s="41" t="s">
        <v>31</v>
      </c>
      <c r="AQ34">
        <v>0.67500000000000004</v>
      </c>
      <c r="AR34" s="45">
        <f t="shared" si="34"/>
        <v>26.507409170059191</v>
      </c>
      <c r="AS34">
        <f t="shared" si="35"/>
        <v>15</v>
      </c>
      <c r="AT34">
        <f t="shared" si="11"/>
        <v>386.98448149573386</v>
      </c>
      <c r="AU34">
        <f t="shared" si="36"/>
        <v>33.72360149213381</v>
      </c>
      <c r="AV34">
        <f t="shared" si="12"/>
        <v>6198.9924578610253</v>
      </c>
      <c r="AX34">
        <f t="shared" si="28"/>
        <v>24.000000000000011</v>
      </c>
      <c r="AY34">
        <f t="shared" si="13"/>
        <v>88.080000000000041</v>
      </c>
      <c r="AZ34">
        <f t="shared" si="14"/>
        <v>198.56236776925391</v>
      </c>
      <c r="BA34">
        <f>AZ34*0.235</f>
        <v>46.662156425774668</v>
      </c>
      <c r="BB34">
        <f t="shared" si="16"/>
        <v>245.22452419502858</v>
      </c>
      <c r="BC34">
        <f t="shared" si="17"/>
        <v>333.30452419502865</v>
      </c>
      <c r="BH34">
        <f t="shared" si="18"/>
        <v>202.34160895280286</v>
      </c>
      <c r="BI34" s="30">
        <f t="shared" si="37"/>
        <v>31.759901528343196</v>
      </c>
      <c r="BJ34" s="30">
        <f t="shared" si="38"/>
        <v>31.759901528343203</v>
      </c>
    </row>
    <row r="35" spans="1:62">
      <c r="J35" s="2"/>
      <c r="K35" s="2"/>
      <c r="R35" s="50"/>
    </row>
    <row r="36" spans="1:62">
      <c r="R36" s="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6ED55-35AD-6649-83D0-344D1E9CEB52}">
  <dimension ref="A2:BD37"/>
  <sheetViews>
    <sheetView topLeftCell="AJ4" workbookViewId="0">
      <selection activeCell="AX24" sqref="AX24"/>
    </sheetView>
  </sheetViews>
  <sheetFormatPr baseColWidth="10" defaultRowHeight="16"/>
  <sheetData>
    <row r="2" spans="1:56">
      <c r="B2" s="44" t="s">
        <v>84</v>
      </c>
      <c r="C2">
        <v>0.1595973</v>
      </c>
      <c r="E2" t="s">
        <v>101</v>
      </c>
      <c r="F2">
        <v>0.47499999999999998</v>
      </c>
      <c r="H2" s="45" t="s">
        <v>102</v>
      </c>
      <c r="I2" s="46" t="s">
        <v>85</v>
      </c>
      <c r="K2" s="47"/>
    </row>
    <row r="3" spans="1:56" ht="80">
      <c r="A3" s="42" t="s">
        <v>1</v>
      </c>
      <c r="B3" s="42" t="s">
        <v>2</v>
      </c>
      <c r="C3" s="42" t="s">
        <v>6</v>
      </c>
      <c r="D3" s="42" t="s">
        <v>4</v>
      </c>
      <c r="E3" s="42" t="s">
        <v>5</v>
      </c>
      <c r="F3" s="42" t="s">
        <v>24</v>
      </c>
      <c r="G3" s="42" t="s">
        <v>7</v>
      </c>
      <c r="H3" s="42" t="s">
        <v>8</v>
      </c>
      <c r="I3" s="42"/>
      <c r="J3" s="42" t="s">
        <v>2</v>
      </c>
      <c r="K3" s="42" t="s">
        <v>6</v>
      </c>
      <c r="L3" s="42" t="s">
        <v>4</v>
      </c>
      <c r="M3" s="42" t="s">
        <v>5</v>
      </c>
      <c r="N3" s="42" t="s">
        <v>3</v>
      </c>
      <c r="O3" s="42" t="s">
        <v>7</v>
      </c>
      <c r="P3" s="42" t="s">
        <v>8</v>
      </c>
      <c r="Q3" s="42"/>
      <c r="R3" s="42" t="s">
        <v>2</v>
      </c>
      <c r="S3" s="42" t="s">
        <v>6</v>
      </c>
      <c r="T3" s="42" t="s">
        <v>4</v>
      </c>
      <c r="U3" s="42" t="s">
        <v>5</v>
      </c>
      <c r="V3" s="42" t="s">
        <v>3</v>
      </c>
      <c r="W3" s="42" t="s">
        <v>7</v>
      </c>
      <c r="X3" s="42" t="s">
        <v>8</v>
      </c>
      <c r="Y3" s="42"/>
      <c r="Z3" s="42" t="s">
        <v>2</v>
      </c>
      <c r="AA3" s="42" t="s">
        <v>6</v>
      </c>
      <c r="AB3" s="42" t="s">
        <v>4</v>
      </c>
      <c r="AC3" s="42" t="s">
        <v>5</v>
      </c>
      <c r="AD3" s="42" t="s">
        <v>3</v>
      </c>
      <c r="AE3" s="42" t="s">
        <v>7</v>
      </c>
      <c r="AF3" s="42" t="s">
        <v>8</v>
      </c>
      <c r="AG3" s="42"/>
      <c r="AH3" s="42" t="s">
        <v>2</v>
      </c>
      <c r="AI3" s="42" t="s">
        <v>6</v>
      </c>
      <c r="AJ3" s="42" t="s">
        <v>4</v>
      </c>
      <c r="AK3" s="42" t="s">
        <v>5</v>
      </c>
      <c r="AL3" s="42" t="s">
        <v>3</v>
      </c>
      <c r="AM3" s="42" t="s">
        <v>7</v>
      </c>
      <c r="AN3" s="42" t="s">
        <v>8</v>
      </c>
      <c r="AO3" s="42"/>
      <c r="AP3" s="42"/>
      <c r="AQ3" s="42" t="s">
        <v>13</v>
      </c>
      <c r="AR3" s="42" t="s">
        <v>14</v>
      </c>
      <c r="AS3" s="42" t="s">
        <v>10</v>
      </c>
      <c r="AT3" s="42" t="s">
        <v>11</v>
      </c>
      <c r="AU3" s="42" t="s">
        <v>12</v>
      </c>
      <c r="AV3" s="42" t="s">
        <v>15</v>
      </c>
      <c r="AW3" s="42"/>
      <c r="AX3" s="42" t="s">
        <v>126</v>
      </c>
      <c r="AY3" s="42"/>
      <c r="AZ3" s="42" t="s">
        <v>16</v>
      </c>
      <c r="BA3" s="42" t="s">
        <v>93</v>
      </c>
      <c r="BB3" s="42" t="s">
        <v>70</v>
      </c>
      <c r="BC3" s="42" t="s">
        <v>92</v>
      </c>
      <c r="BD3" s="42"/>
    </row>
    <row r="4" spans="1:56">
      <c r="A4" s="39">
        <v>0</v>
      </c>
      <c r="B4" s="41" t="s">
        <v>106</v>
      </c>
      <c r="C4">
        <v>0.88100000000000001</v>
      </c>
      <c r="D4" s="45">
        <f>A4*0.7*0.93</f>
        <v>0</v>
      </c>
      <c r="E4">
        <v>0</v>
      </c>
      <c r="F4">
        <f>0.0673*(C4*D4^2*E4)^0.976</f>
        <v>0</v>
      </c>
      <c r="G4">
        <v>80</v>
      </c>
      <c r="H4">
        <f>F4*G4*$F$2</f>
        <v>0</v>
      </c>
      <c r="J4" s="40" t="s">
        <v>9</v>
      </c>
      <c r="K4">
        <v>0.82499999999999996</v>
      </c>
      <c r="L4" s="45">
        <f>A4*1*0.93</f>
        <v>0</v>
      </c>
      <c r="M4">
        <f>IF(50.453*(1-EXP(-0.047*L4^(0.812)))&gt;10, 10, 50.453*(1-EXP(-0.047*L4^(0.812))))</f>
        <v>0</v>
      </c>
      <c r="N4">
        <f>0.0673*(K4*L4^2*M4)^0.976</f>
        <v>0</v>
      </c>
      <c r="O4">
        <v>80</v>
      </c>
      <c r="P4">
        <f>N4*O4*$F$2</f>
        <v>0</v>
      </c>
      <c r="R4" s="41" t="s">
        <v>111</v>
      </c>
      <c r="S4">
        <v>0.34</v>
      </c>
      <c r="T4" s="45">
        <f>A4*2.3*0.93</f>
        <v>0</v>
      </c>
      <c r="U4">
        <f>IF(50.453*(1-EXP(-0.047*T4^(0.812)))&gt;35, 35, 50.453*(1-EXP(-0.047*T4^(0.812))))</f>
        <v>0</v>
      </c>
      <c r="V4">
        <f>0.0673*(S4*T4^2*U4)^0.976</f>
        <v>0</v>
      </c>
      <c r="W4">
        <v>80</v>
      </c>
      <c r="X4">
        <f>V4*W4*$F$2</f>
        <v>0</v>
      </c>
      <c r="Z4" s="40" t="s">
        <v>31</v>
      </c>
      <c r="AA4">
        <v>0.67500000000000004</v>
      </c>
      <c r="AB4" s="45">
        <v>0</v>
      </c>
      <c r="AC4">
        <v>0</v>
      </c>
      <c r="AD4">
        <f>0.0673*(AA4*AB4^2*AC4)^0.976</f>
        <v>0</v>
      </c>
      <c r="AE4">
        <v>80</v>
      </c>
      <c r="AF4">
        <f>AD4*AE4*$F$2</f>
        <v>0</v>
      </c>
      <c r="AH4" s="41" t="s">
        <v>122</v>
      </c>
      <c r="AI4">
        <v>0.49</v>
      </c>
      <c r="AJ4" s="45">
        <f>$A4*1*0.93</f>
        <v>0</v>
      </c>
      <c r="AK4">
        <f>IF(50.453*(1-EXP(-0.047*AJ4^(0.812)))&gt;25, 25, 50.453*(1-EXP(-0.047*AJ4^(0.812))))</f>
        <v>0</v>
      </c>
      <c r="AL4">
        <f>0.0673*(AI4*AJ4^2*AK4)^0.976</f>
        <v>0</v>
      </c>
      <c r="AM4">
        <v>80</v>
      </c>
      <c r="AN4">
        <f>AL4*AM4*$F$2</f>
        <v>0</v>
      </c>
      <c r="AQ4">
        <v>0</v>
      </c>
      <c r="AR4">
        <f>AQ4*3.67</f>
        <v>0</v>
      </c>
      <c r="AS4">
        <f>SUM(H4,P4,X4,AF4,AN4)*3.67/1000</f>
        <v>0</v>
      </c>
      <c r="AT4">
        <f>AS4*0.235</f>
        <v>0</v>
      </c>
      <c r="AU4">
        <f>AS4+AT4</f>
        <v>0</v>
      </c>
      <c r="AV4">
        <f>AU4+AR4</f>
        <v>0</v>
      </c>
      <c r="AX4">
        <v>438.15</v>
      </c>
      <c r="AZ4">
        <f>SUM(AM34,AE34,W34,O34,G34)</f>
        <v>207.52985533620807</v>
      </c>
      <c r="BA4">
        <f>SUM(G4,O4,W4,AE4,AM4)</f>
        <v>400</v>
      </c>
      <c r="BB4">
        <f>AVERAGE(D4,L4,T4,AB4,AJ4)</f>
        <v>0</v>
      </c>
      <c r="BC4">
        <f>SUM(D4*G4,L4*O4,T4*W4,AB4*AE4,AJ4*AM4)/BA4</f>
        <v>0</v>
      </c>
    </row>
    <row r="5" spans="1:56">
      <c r="A5" s="39">
        <v>1</v>
      </c>
      <c r="B5" s="41" t="s">
        <v>106</v>
      </c>
      <c r="C5">
        <v>0.88100000000000001</v>
      </c>
      <c r="D5" s="45">
        <f>A5*0.4*0.93</f>
        <v>0.37200000000000005</v>
      </c>
      <c r="E5">
        <f>IF(EXP(0.893-$C$2+0.76*LN(D5)-0.034*(LN(D5))^2)&gt;22.5, 22.5, EXP(0.893-$C$2+0.76*LN(D5)-0.034*(LN(D5))^2))</f>
        <v>0.9499187940711552</v>
      </c>
      <c r="F5">
        <f t="shared" ref="F5:F34" si="0">0.0673*(C5*D5^2*E5)^0.976</f>
        <v>8.2079249014313151E-3</v>
      </c>
      <c r="G5">
        <f>G4*0.6</f>
        <v>48</v>
      </c>
      <c r="H5">
        <f t="shared" ref="H5:H34" si="1">F5*G5*$F$2</f>
        <v>0.18714068775263396</v>
      </c>
      <c r="J5" s="40" t="s">
        <v>9</v>
      </c>
      <c r="K5">
        <v>0.82499999999999996</v>
      </c>
      <c r="L5" s="45">
        <f t="shared" ref="L5:L34" si="2">A5*1*0.93</f>
        <v>0.93</v>
      </c>
      <c r="M5">
        <f>IF(EXP(0.893-$C$2+0.76*LN(L5)-0.034*(LN(L5))^2)&gt;15, 15, EXP(0.893-$C$2+0.76*LN(L5)-0.034*(LN(L5))^2))</f>
        <v>1.9700716492376908</v>
      </c>
      <c r="N5">
        <f t="shared" ref="N5:N34" si="3">0.0673*(K5*L5^2*M5)^0.976</f>
        <v>9.3835524598760489E-2</v>
      </c>
      <c r="O5">
        <f>O4*0.6</f>
        <v>48</v>
      </c>
      <c r="P5">
        <f t="shared" ref="P5:P34" si="4">N5*O5*$F$2</f>
        <v>2.139449960851739</v>
      </c>
      <c r="R5" s="41" t="s">
        <v>111</v>
      </c>
      <c r="S5">
        <v>0.34</v>
      </c>
      <c r="T5" s="45">
        <f t="shared" ref="T5:T34" si="5">A5*2.3*0.93</f>
        <v>2.1389999999999998</v>
      </c>
      <c r="U5">
        <f>IF(50.453*(1-EXP(-0.047*T5^(0.812)))&gt;30, 30, 50.453*(1-EXP(-0.047*T5^(0.812))))</f>
        <v>4.2104712430511748</v>
      </c>
      <c r="V5">
        <f t="shared" ref="V5:V34" si="6">0.0673*(S5*T5^2*U5)^0.976</f>
        <v>0.42136330067889016</v>
      </c>
      <c r="W5">
        <f>W4*0.6</f>
        <v>48</v>
      </c>
      <c r="X5">
        <f t="shared" ref="X5:X34" si="7">V5*W5*$F$2</f>
        <v>9.6070832554786953</v>
      </c>
      <c r="Z5" s="40" t="s">
        <v>31</v>
      </c>
      <c r="AA5">
        <v>0.67500000000000004</v>
      </c>
      <c r="AB5" s="45">
        <f>AB6/2</f>
        <v>0.22305446636195617</v>
      </c>
      <c r="AC5">
        <f>IF(EXP(0.893-$C$2+0.76*LN(AB5)-0.034*(LN(AB5))^2)&gt;37.5, 37.5, EXP(0.893-$C$2+0.76*LN(AB5)-0.034*(LN(AB5))^2))</f>
        <v>0.61668940642705572</v>
      </c>
      <c r="AD5">
        <f t="shared" ref="AD5:AD34" si="8">0.0673*(AA5*AB5^2*AC5)^0.976</f>
        <v>1.5297433086999728E-3</v>
      </c>
      <c r="AE5">
        <f>AE4*0.6</f>
        <v>48</v>
      </c>
      <c r="AF5">
        <f>AD5*AE5*$F$2</f>
        <v>3.4878147438359375E-2</v>
      </c>
      <c r="AH5" s="41" t="s">
        <v>122</v>
      </c>
      <c r="AI5">
        <v>0.49</v>
      </c>
      <c r="AJ5" s="45">
        <f t="shared" ref="AJ5:AJ34" si="9">$A5*1*0.93</f>
        <v>0.93</v>
      </c>
      <c r="AK5">
        <f>IF(EXP(0.893-$C$2+0.76*LN(AJ5)-0.034*(LN(AJ5))^2)&gt;20, 20, EXP(0.893-$C$2+0.76*LN(AJ5)-0.034*(LN(AJ5))^2))</f>
        <v>1.9700716492376908</v>
      </c>
      <c r="AL5">
        <f t="shared" ref="AL5:AL34" si="10">0.0673*(AI5*AJ5^2*AK5)^0.976</f>
        <v>5.6433840533773483E-2</v>
      </c>
      <c r="AM5">
        <f>AM4*0.6</f>
        <v>48</v>
      </c>
      <c r="AN5">
        <f t="shared" ref="AN5:AN34" si="11">AL5*AM5*$F$2</f>
        <v>1.2866915641700354</v>
      </c>
      <c r="AQ5">
        <f>AQ4+Calculations!$C$24</f>
        <v>0.2074893333333333</v>
      </c>
      <c r="AR5">
        <f t="shared" ref="AR5:AR34" si="12">AQ5*3.67</f>
        <v>0.76148585333333318</v>
      </c>
      <c r="AS5">
        <f t="shared" ref="AS5:AS34" si="13">SUM(H5,P5,X5,AF5,AN5)*3.67/1000</f>
        <v>4.8646744069587668E-2</v>
      </c>
      <c r="AT5">
        <f>AS5*0.33</f>
        <v>1.605342554296393E-2</v>
      </c>
      <c r="AU5">
        <f t="shared" ref="AU5:AU34" si="14">AS5+AT5</f>
        <v>6.4700169612551595E-2</v>
      </c>
      <c r="AV5">
        <f t="shared" ref="AV5:AV34" si="15">AU5+AR5</f>
        <v>0.82618602294588483</v>
      </c>
      <c r="BA5">
        <f t="shared" ref="BA5:BA34" si="16">SUM(G5,O5,W5,AE5,AM5)</f>
        <v>240</v>
      </c>
      <c r="BB5">
        <f t="shared" ref="BB5:BB34" si="17">AVERAGE(D5,L5,T5,AB5,AJ5)</f>
        <v>0.91881089327239118</v>
      </c>
      <c r="BC5">
        <f t="shared" ref="BC5:BC34" si="18">SUM(D5*G5,L5*O5,T5*W5,AB5*AE5,AJ5*AM5)/BA5</f>
        <v>0.91881089327239118</v>
      </c>
    </row>
    <row r="6" spans="1:56" ht="19">
      <c r="A6" s="39">
        <v>2</v>
      </c>
      <c r="B6" s="41" t="s">
        <v>106</v>
      </c>
      <c r="C6">
        <v>0.88100000000000001</v>
      </c>
      <c r="D6" s="45">
        <f t="shared" ref="D6:D34" si="19">A6*0.4*0.93</f>
        <v>0.74400000000000011</v>
      </c>
      <c r="E6">
        <f t="shared" ref="E6:E34" si="20">IF(EXP(0.893-$C$2+0.76*LN(D6)-0.034*(LN(D6))^2)&gt;22.5, 22.5, EXP(0.893-$C$2+0.76*LN(D6)-0.034*(LN(D6))^2))</f>
        <v>1.6581237289719131</v>
      </c>
      <c r="F6">
        <f t="shared" si="0"/>
        <v>5.4697572048358387E-2</v>
      </c>
      <c r="G6">
        <f>G5*0.995</f>
        <v>47.76</v>
      </c>
      <c r="H6">
        <f t="shared" si="1"/>
        <v>1.2408691194890582</v>
      </c>
      <c r="J6" s="40" t="s">
        <v>9</v>
      </c>
      <c r="K6">
        <v>0.82499999999999996</v>
      </c>
      <c r="L6" s="45">
        <f t="shared" si="2"/>
        <v>1.86</v>
      </c>
      <c r="M6">
        <f t="shared" ref="M6:M34" si="21">IF(EXP(0.893-$C$2+0.76*LN(L6)-0.034*(LN(L6))^2)&gt;15, 15, EXP(0.893-$C$2+0.76*LN(L6)-0.034*(LN(L6))^2))</f>
        <v>3.2934871077857624</v>
      </c>
      <c r="N6">
        <f t="shared" si="3"/>
        <v>0.59950886528937841</v>
      </c>
      <c r="O6">
        <f>O5*0.995</f>
        <v>47.76</v>
      </c>
      <c r="P6">
        <f t="shared" si="4"/>
        <v>13.600458117954838</v>
      </c>
      <c r="R6" s="41" t="s">
        <v>111</v>
      </c>
      <c r="S6">
        <v>0.34</v>
      </c>
      <c r="T6" s="45">
        <f t="shared" si="5"/>
        <v>4.2779999999999996</v>
      </c>
      <c r="U6">
        <f t="shared" ref="U6:U34" si="22">IF(50.453*(1-EXP(-0.047*T6^(0.812)))&gt;30, 30, 50.453*(1-EXP(-0.047*T6^(0.812))))</f>
        <v>7.1573836800950836</v>
      </c>
      <c r="V6">
        <f t="shared" si="6"/>
        <v>2.7362809432139472</v>
      </c>
      <c r="W6">
        <f>W5*0.995</f>
        <v>47.76</v>
      </c>
      <c r="X6">
        <f t="shared" si="7"/>
        <v>62.075269477751604</v>
      </c>
      <c r="Z6" s="40" t="s">
        <v>31</v>
      </c>
      <c r="AA6">
        <v>0.67500000000000004</v>
      </c>
      <c r="AB6" s="45">
        <f>(10.348*LN(A6)-6.693)*0.93</f>
        <v>0.44610893272391233</v>
      </c>
      <c r="AC6">
        <f t="shared" ref="AC6:AC9" si="23">IF(EXP(0.893-$C$2+0.76*LN(AB6)-0.034*(LN(AB6))^2)&gt;37.5, 37.5, EXP(0.893-$C$2+0.76*LN(AB6)-0.034*(LN(AB6))^2))</f>
        <v>1.1027242229265279</v>
      </c>
      <c r="AD6">
        <f t="shared" si="8"/>
        <v>1.0436909796128178E-2</v>
      </c>
      <c r="AE6">
        <f>AE5*0.995</f>
        <v>47.76</v>
      </c>
      <c r="AF6">
        <f t="shared" ref="AF6:AF34" si="24">AD6*AE6*$F$2</f>
        <v>0.23677173563496384</v>
      </c>
      <c r="AH6" s="41" t="s">
        <v>122</v>
      </c>
      <c r="AI6">
        <v>0.49</v>
      </c>
      <c r="AJ6" s="45">
        <f t="shared" si="9"/>
        <v>1.86</v>
      </c>
      <c r="AK6">
        <f t="shared" ref="AK6:AK34" si="25">IF(EXP(0.893-$C$2+0.76*LN(AJ6)-0.034*(LN(AJ6))^2)&gt;20, 20, EXP(0.893-$C$2+0.76*LN(AJ6)-0.034*(LN(AJ6))^2))</f>
        <v>3.2934871077857624</v>
      </c>
      <c r="AL6">
        <f t="shared" si="10"/>
        <v>0.3605520174474644</v>
      </c>
      <c r="AM6">
        <f>AM5*0.995</f>
        <v>47.76</v>
      </c>
      <c r="AN6">
        <f t="shared" si="11"/>
        <v>8.1794830678131767</v>
      </c>
      <c r="AQ6">
        <f>AQ5+Calculations!$C$24</f>
        <v>0.41497866666666661</v>
      </c>
      <c r="AR6">
        <f t="shared" si="12"/>
        <v>1.5229717066666664</v>
      </c>
      <c r="AS6">
        <f t="shared" si="13"/>
        <v>0.31317156507342214</v>
      </c>
      <c r="AT6">
        <f t="shared" ref="AT6:AT34" si="26">AS6*0.33</f>
        <v>0.10334661647422931</v>
      </c>
      <c r="AU6">
        <f t="shared" si="14"/>
        <v>0.41651818154765147</v>
      </c>
      <c r="AV6">
        <f t="shared" si="15"/>
        <v>1.9394898882143179</v>
      </c>
      <c r="AX6" s="38" t="s">
        <v>17</v>
      </c>
      <c r="BA6">
        <f t="shared" si="16"/>
        <v>238.79999999999998</v>
      </c>
      <c r="BB6">
        <f t="shared" si="17"/>
        <v>1.8376217865447824</v>
      </c>
      <c r="BC6">
        <f t="shared" si="18"/>
        <v>1.8376217865447824</v>
      </c>
    </row>
    <row r="7" spans="1:56">
      <c r="A7" s="39">
        <v>3</v>
      </c>
      <c r="B7" s="41" t="s">
        <v>106</v>
      </c>
      <c r="C7">
        <v>0.88100000000000001</v>
      </c>
      <c r="D7" s="45">
        <f t="shared" si="19"/>
        <v>1.1160000000000003</v>
      </c>
      <c r="E7">
        <f t="shared" si="20"/>
        <v>2.2623493710319655</v>
      </c>
      <c r="F7">
        <f t="shared" si="0"/>
        <v>0.1634565392682753</v>
      </c>
      <c r="G7">
        <f t="shared" ref="G7:G34" si="27">G6*0.995</f>
        <v>47.5212</v>
      </c>
      <c r="H7">
        <f t="shared" si="1"/>
        <v>3.6896341745908927</v>
      </c>
      <c r="J7" s="40" t="s">
        <v>9</v>
      </c>
      <c r="K7">
        <v>0.82499999999999996</v>
      </c>
      <c r="L7" s="45">
        <f t="shared" si="2"/>
        <v>2.79</v>
      </c>
      <c r="M7">
        <f t="shared" si="21"/>
        <v>4.3815407271194626</v>
      </c>
      <c r="N7">
        <f t="shared" si="3"/>
        <v>1.7479191127398115</v>
      </c>
      <c r="O7">
        <f t="shared" ref="O7:O34" si="28">O6*0.995</f>
        <v>47.5212</v>
      </c>
      <c r="P7">
        <f t="shared" si="4"/>
        <v>39.455026526657285</v>
      </c>
      <c r="R7" s="41" t="s">
        <v>111</v>
      </c>
      <c r="S7">
        <v>0.34</v>
      </c>
      <c r="T7" s="45">
        <f t="shared" si="5"/>
        <v>6.4169999999999998</v>
      </c>
      <c r="U7">
        <f t="shared" si="22"/>
        <v>9.6645471786157255</v>
      </c>
      <c r="V7">
        <f t="shared" si="6"/>
        <v>8.0944581528538482</v>
      </c>
      <c r="W7">
        <f t="shared" ref="W7:W34" si="29">W6*0.995</f>
        <v>47.5212</v>
      </c>
      <c r="X7">
        <f t="shared" si="7"/>
        <v>182.7127232673642</v>
      </c>
      <c r="Z7" s="40" t="s">
        <v>31</v>
      </c>
      <c r="AA7">
        <v>0.67500000000000004</v>
      </c>
      <c r="AB7" s="45">
        <f t="shared" ref="AB7:AB34" si="30">(10.348*LN(A7)-6.693)*0.93</f>
        <v>4.348159165717969</v>
      </c>
      <c r="AC7">
        <f t="shared" si="23"/>
        <v>5.9119089797493611</v>
      </c>
      <c r="AD7">
        <f t="shared" si="8"/>
        <v>4.5771381984028379</v>
      </c>
      <c r="AE7">
        <f t="shared" ref="AE7:AE34" si="31">AE6*0.995</f>
        <v>47.5212</v>
      </c>
      <c r="AF7">
        <f t="shared" si="24"/>
        <v>103.31777238312195</v>
      </c>
      <c r="AH7" s="41" t="s">
        <v>122</v>
      </c>
      <c r="AI7">
        <v>0.49</v>
      </c>
      <c r="AJ7" s="45">
        <f t="shared" si="9"/>
        <v>2.79</v>
      </c>
      <c r="AK7">
        <f t="shared" si="25"/>
        <v>4.3815407271194626</v>
      </c>
      <c r="AL7">
        <f t="shared" si="10"/>
        <v>1.0512200885121536</v>
      </c>
      <c r="AM7">
        <f t="shared" ref="AM7:AM34" si="32">AM6*0.995</f>
        <v>47.5212</v>
      </c>
      <c r="AN7">
        <f t="shared" si="11"/>
        <v>23.728739033346784</v>
      </c>
      <c r="AQ7">
        <f>AQ6+Calculations!$C$24</f>
        <v>0.62246799999999991</v>
      </c>
      <c r="AR7">
        <f t="shared" si="12"/>
        <v>2.2844575599999994</v>
      </c>
      <c r="AS7">
        <f t="shared" si="13"/>
        <v>1.2951572960632478</v>
      </c>
      <c r="AT7">
        <f t="shared" si="26"/>
        <v>0.42740190770087177</v>
      </c>
      <c r="AU7">
        <f t="shared" si="14"/>
        <v>1.7225592037641195</v>
      </c>
      <c r="AV7">
        <f t="shared" si="15"/>
        <v>4.0070167637641187</v>
      </c>
      <c r="AX7">
        <f>AV34*AX4</f>
        <v>159081.00935778447</v>
      </c>
      <c r="BA7">
        <f t="shared" si="16"/>
        <v>237.60599999999999</v>
      </c>
      <c r="BB7">
        <f t="shared" si="17"/>
        <v>3.492231833143594</v>
      </c>
      <c r="BC7">
        <f t="shared" si="18"/>
        <v>3.4922318331435944</v>
      </c>
    </row>
    <row r="8" spans="1:56">
      <c r="A8" s="39">
        <v>4</v>
      </c>
      <c r="B8" s="41" t="s">
        <v>106</v>
      </c>
      <c r="C8">
        <v>0.88100000000000001</v>
      </c>
      <c r="D8" s="45">
        <f t="shared" si="19"/>
        <v>1.4880000000000002</v>
      </c>
      <c r="E8">
        <f t="shared" si="20"/>
        <v>2.8012936595447586</v>
      </c>
      <c r="F8">
        <f t="shared" si="0"/>
        <v>0.35306486688690963</v>
      </c>
      <c r="G8">
        <f t="shared" si="27"/>
        <v>47.283594000000001</v>
      </c>
      <c r="H8">
        <f t="shared" si="1"/>
        <v>7.9297335152337221</v>
      </c>
      <c r="J8" s="40" t="s">
        <v>9</v>
      </c>
      <c r="K8">
        <v>0.82499999999999996</v>
      </c>
      <c r="L8" s="45">
        <f t="shared" si="2"/>
        <v>3.72</v>
      </c>
      <c r="M8">
        <f t="shared" si="21"/>
        <v>5.3289440925668474</v>
      </c>
      <c r="N8">
        <f t="shared" si="3"/>
        <v>3.71001540291069</v>
      </c>
      <c r="O8">
        <f t="shared" si="28"/>
        <v>47.283594000000001</v>
      </c>
      <c r="P8">
        <f t="shared" si="4"/>
        <v>83.325859471363358</v>
      </c>
      <c r="R8" s="41" t="s">
        <v>111</v>
      </c>
      <c r="S8">
        <v>0.34</v>
      </c>
      <c r="T8" s="45">
        <f t="shared" si="5"/>
        <v>8.5559999999999992</v>
      </c>
      <c r="U8">
        <f t="shared" si="22"/>
        <v>11.884153807682253</v>
      </c>
      <c r="V8">
        <f t="shared" si="6"/>
        <v>17.366010824716177</v>
      </c>
      <c r="W8">
        <f t="shared" si="29"/>
        <v>47.283594000000001</v>
      </c>
      <c r="X8">
        <f t="shared" si="7"/>
        <v>390.03551748685533</v>
      </c>
      <c r="Z8" s="40" t="s">
        <v>31</v>
      </c>
      <c r="AA8">
        <v>0.67500000000000004</v>
      </c>
      <c r="AB8" s="45">
        <f t="shared" si="30"/>
        <v>7.1167078654478244</v>
      </c>
      <c r="AC8">
        <f t="shared" si="23"/>
        <v>8.1166749187898439</v>
      </c>
      <c r="AD8">
        <f t="shared" si="8"/>
        <v>16.316142969166702</v>
      </c>
      <c r="AE8">
        <f t="shared" si="31"/>
        <v>47.283594000000001</v>
      </c>
      <c r="AF8">
        <f t="shared" si="24"/>
        <v>366.45579290501558</v>
      </c>
      <c r="AH8" s="41" t="s">
        <v>122</v>
      </c>
      <c r="AI8">
        <v>0.49</v>
      </c>
      <c r="AJ8" s="45">
        <f t="shared" si="9"/>
        <v>3.72</v>
      </c>
      <c r="AK8">
        <f t="shared" si="25"/>
        <v>5.3289440925668474</v>
      </c>
      <c r="AL8">
        <f t="shared" si="10"/>
        <v>2.2312489701631715</v>
      </c>
      <c r="AM8">
        <f t="shared" si="32"/>
        <v>47.283594000000001</v>
      </c>
      <c r="AN8">
        <f t="shared" si="11"/>
        <v>50.113198448603917</v>
      </c>
      <c r="AQ8">
        <f>AQ7+Calculations!$C$24</f>
        <v>0.82995733333333321</v>
      </c>
      <c r="AR8">
        <f t="shared" si="12"/>
        <v>3.0459434133333327</v>
      </c>
      <c r="AS8">
        <f t="shared" si="13"/>
        <v>3.2951465737053542</v>
      </c>
      <c r="AT8">
        <f t="shared" si="26"/>
        <v>1.0873983693227669</v>
      </c>
      <c r="AU8">
        <f t="shared" si="14"/>
        <v>4.3825449430281207</v>
      </c>
      <c r="AV8">
        <f t="shared" si="15"/>
        <v>7.4284883563614539</v>
      </c>
      <c r="BA8">
        <f t="shared" si="16"/>
        <v>236.41797</v>
      </c>
      <c r="BB8">
        <f t="shared" si="17"/>
        <v>4.9201415730895643</v>
      </c>
      <c r="BC8">
        <f t="shared" si="18"/>
        <v>4.9201415730895652</v>
      </c>
    </row>
    <row r="9" spans="1:56" ht="19">
      <c r="A9" s="39">
        <v>5</v>
      </c>
      <c r="B9" s="41" t="s">
        <v>106</v>
      </c>
      <c r="C9">
        <v>0.88100000000000001</v>
      </c>
      <c r="D9" s="45">
        <f t="shared" si="19"/>
        <v>1.86</v>
      </c>
      <c r="E9">
        <f t="shared" si="20"/>
        <v>3.2934871077857624</v>
      </c>
      <c r="F9">
        <f t="shared" si="0"/>
        <v>0.63919451924317272</v>
      </c>
      <c r="G9">
        <f t="shared" si="27"/>
        <v>47.047176030000003</v>
      </c>
      <c r="H9">
        <f t="shared" si="1"/>
        <v>14.284341105516265</v>
      </c>
      <c r="J9" s="40" t="s">
        <v>9</v>
      </c>
      <c r="K9">
        <v>0.82499999999999996</v>
      </c>
      <c r="L9" s="45">
        <f t="shared" si="2"/>
        <v>4.6500000000000004</v>
      </c>
      <c r="M9">
        <f t="shared" si="21"/>
        <v>6.1787446389068963</v>
      </c>
      <c r="N9">
        <f t="shared" si="3"/>
        <v>6.6261448086095758</v>
      </c>
      <c r="O9">
        <f t="shared" si="28"/>
        <v>47.047176030000003</v>
      </c>
      <c r="P9">
        <f t="shared" si="4"/>
        <v>148.07716557518955</v>
      </c>
      <c r="R9" s="41" t="s">
        <v>111</v>
      </c>
      <c r="S9">
        <v>0.34</v>
      </c>
      <c r="T9" s="45">
        <f t="shared" si="5"/>
        <v>10.695</v>
      </c>
      <c r="U9">
        <f t="shared" si="22"/>
        <v>13.888088633273965</v>
      </c>
      <c r="V9">
        <f t="shared" si="6"/>
        <v>31.254923999090892</v>
      </c>
      <c r="W9">
        <f t="shared" si="29"/>
        <v>47.047176030000003</v>
      </c>
      <c r="X9">
        <f t="shared" si="7"/>
        <v>698.46655781501283</v>
      </c>
      <c r="Z9" s="40" t="s">
        <v>31</v>
      </c>
      <c r="AA9">
        <v>0.67500000000000004</v>
      </c>
      <c r="AB9" s="45">
        <f t="shared" si="30"/>
        <v>9.2641610716173055</v>
      </c>
      <c r="AC9">
        <f t="shared" si="23"/>
        <v>9.5523139450916581</v>
      </c>
      <c r="AD9">
        <f t="shared" si="8"/>
        <v>32.004203989489582</v>
      </c>
      <c r="AE9">
        <f t="shared" si="31"/>
        <v>47.047176030000003</v>
      </c>
      <c r="AF9">
        <f t="shared" si="24"/>
        <v>715.21102392693376</v>
      </c>
      <c r="AH9" s="41" t="s">
        <v>122</v>
      </c>
      <c r="AI9">
        <v>0.49</v>
      </c>
      <c r="AJ9" s="45">
        <f t="shared" si="9"/>
        <v>4.6500000000000004</v>
      </c>
      <c r="AK9">
        <f t="shared" si="25"/>
        <v>6.1787446389068963</v>
      </c>
      <c r="AL9">
        <f t="shared" si="10"/>
        <v>3.9850451210426021</v>
      </c>
      <c r="AM9">
        <f t="shared" si="32"/>
        <v>47.047176030000003</v>
      </c>
      <c r="AN9">
        <f t="shared" si="11"/>
        <v>89.055431666162377</v>
      </c>
      <c r="AQ9">
        <f>AQ8+Calculations!$C$24</f>
        <v>1.0374466666666664</v>
      </c>
      <c r="AR9">
        <f t="shared" si="12"/>
        <v>3.8074292666666656</v>
      </c>
      <c r="AS9">
        <f t="shared" si="13"/>
        <v>6.11089688872595</v>
      </c>
      <c r="AT9">
        <f t="shared" si="26"/>
        <v>2.0165959732795637</v>
      </c>
      <c r="AU9">
        <f t="shared" si="14"/>
        <v>8.1274928620055142</v>
      </c>
      <c r="AV9">
        <f t="shared" si="15"/>
        <v>11.934922128672181</v>
      </c>
      <c r="AX9" s="38" t="s">
        <v>30</v>
      </c>
      <c r="AY9" s="1" t="s">
        <v>32</v>
      </c>
      <c r="BA9">
        <f t="shared" si="16"/>
        <v>235.23588015000001</v>
      </c>
      <c r="BB9" s="30">
        <f t="shared" si="17"/>
        <v>6.223832214323461</v>
      </c>
      <c r="BC9" s="30">
        <f t="shared" si="18"/>
        <v>6.2238322143234601</v>
      </c>
    </row>
    <row r="10" spans="1:56">
      <c r="A10" s="39">
        <v>6</v>
      </c>
      <c r="B10" s="41" t="s">
        <v>106</v>
      </c>
      <c r="C10">
        <v>0.88100000000000001</v>
      </c>
      <c r="D10" s="45">
        <f t="shared" si="19"/>
        <v>2.2320000000000007</v>
      </c>
      <c r="E10">
        <f t="shared" si="20"/>
        <v>3.7497428888488944</v>
      </c>
      <c r="F10">
        <f t="shared" si="0"/>
        <v>1.0355905163997319</v>
      </c>
      <c r="G10">
        <f t="shared" si="27"/>
        <v>46.811940149850003</v>
      </c>
      <c r="H10">
        <f t="shared" si="1"/>
        <v>23.027050604891841</v>
      </c>
      <c r="J10" s="40" t="s">
        <v>9</v>
      </c>
      <c r="K10">
        <v>0.82499999999999996</v>
      </c>
      <c r="L10" s="45">
        <f t="shared" si="2"/>
        <v>5.58</v>
      </c>
      <c r="M10">
        <f t="shared" si="21"/>
        <v>6.9552406681794228</v>
      </c>
      <c r="N10">
        <f t="shared" si="3"/>
        <v>10.616973776554936</v>
      </c>
      <c r="O10">
        <f t="shared" si="28"/>
        <v>46.811940149850003</v>
      </c>
      <c r="P10">
        <f t="shared" si="4"/>
        <v>236.07554197529288</v>
      </c>
      <c r="R10" s="41" t="s">
        <v>111</v>
      </c>
      <c r="S10">
        <v>0.34</v>
      </c>
      <c r="T10" s="45">
        <f t="shared" si="5"/>
        <v>12.834</v>
      </c>
      <c r="U10">
        <f t="shared" si="22"/>
        <v>15.719085960197528</v>
      </c>
      <c r="V10">
        <f t="shared" si="6"/>
        <v>50.347071397467879</v>
      </c>
      <c r="W10">
        <f t="shared" si="29"/>
        <v>46.811940149850003</v>
      </c>
      <c r="X10">
        <f t="shared" si="7"/>
        <v>1119.5009441647833</v>
      </c>
      <c r="Z10" s="40" t="s">
        <v>31</v>
      </c>
      <c r="AA10">
        <v>0.67500000000000004</v>
      </c>
      <c r="AB10" s="45">
        <f t="shared" si="30"/>
        <v>11.01875809844188</v>
      </c>
      <c r="AC10">
        <f>IF(EXP(0.893-$C$2+0.76*LN(AB10)-0.034*(LN(AB10))^2)&gt;15, 15, EXP(0.893-$C$2+0.76*LN(AB10)-0.034*(LN(AB10))^2))</f>
        <v>10.604977206399607</v>
      </c>
      <c r="AD10">
        <f t="shared" si="8"/>
        <v>49.722846479612748</v>
      </c>
      <c r="AE10">
        <f t="shared" si="31"/>
        <v>46.811940149850003</v>
      </c>
      <c r="AF10">
        <f t="shared" si="24"/>
        <v>1105.6208839048106</v>
      </c>
      <c r="AH10" s="41" t="s">
        <v>122</v>
      </c>
      <c r="AI10">
        <v>0.49</v>
      </c>
      <c r="AJ10" s="45">
        <f t="shared" si="9"/>
        <v>5.58</v>
      </c>
      <c r="AK10">
        <f t="shared" si="25"/>
        <v>6.9552406681794228</v>
      </c>
      <c r="AL10">
        <f t="shared" si="10"/>
        <v>6.3851788288000924</v>
      </c>
      <c r="AM10">
        <f t="shared" si="32"/>
        <v>46.811940149850003</v>
      </c>
      <c r="AN10">
        <f t="shared" si="11"/>
        <v>141.97873936044266</v>
      </c>
      <c r="AQ10">
        <f>AQ9+Calculations!$C$24</f>
        <v>1.2449359999999996</v>
      </c>
      <c r="AR10">
        <f t="shared" si="12"/>
        <v>4.568915119999998</v>
      </c>
      <c r="AS10">
        <f t="shared" si="13"/>
        <v>9.6381655972375135</v>
      </c>
      <c r="AT10">
        <f t="shared" si="26"/>
        <v>3.1805946470883795</v>
      </c>
      <c r="AU10">
        <f t="shared" si="14"/>
        <v>12.818760244325894</v>
      </c>
      <c r="AV10">
        <f t="shared" si="15"/>
        <v>17.387675364325894</v>
      </c>
      <c r="AX10">
        <f>AX7*0.2</f>
        <v>31816.201871556896</v>
      </c>
      <c r="AY10">
        <f>AX10/AX4</f>
        <v>72.614862196866142</v>
      </c>
      <c r="BA10">
        <f t="shared" si="16"/>
        <v>234.05970074925</v>
      </c>
      <c r="BB10">
        <f t="shared" si="17"/>
        <v>7.4489516196883754</v>
      </c>
      <c r="BC10">
        <f t="shared" si="18"/>
        <v>7.4489516196883763</v>
      </c>
    </row>
    <row r="11" spans="1:56">
      <c r="A11" s="39">
        <v>7</v>
      </c>
      <c r="B11" s="41" t="s">
        <v>106</v>
      </c>
      <c r="C11">
        <v>0.88100000000000001</v>
      </c>
      <c r="D11" s="45">
        <f t="shared" si="19"/>
        <v>2.6040000000000005</v>
      </c>
      <c r="E11">
        <f t="shared" si="20"/>
        <v>4.1771019539693732</v>
      </c>
      <c r="F11">
        <f t="shared" si="0"/>
        <v>1.5545933920240871</v>
      </c>
      <c r="G11">
        <f t="shared" si="27"/>
        <v>46.577880449100753</v>
      </c>
      <c r="H11">
        <f t="shared" si="1"/>
        <v>34.394590951313475</v>
      </c>
      <c r="J11" s="40" t="s">
        <v>9</v>
      </c>
      <c r="K11">
        <v>0.82499999999999996</v>
      </c>
      <c r="L11" s="45">
        <f t="shared" si="2"/>
        <v>6.5100000000000007</v>
      </c>
      <c r="M11">
        <f t="shared" si="21"/>
        <v>7.6738700839854843</v>
      </c>
      <c r="N11">
        <f t="shared" si="3"/>
        <v>15.78913374538862</v>
      </c>
      <c r="O11">
        <f t="shared" si="28"/>
        <v>46.577880449100753</v>
      </c>
      <c r="P11">
        <f t="shared" si="4"/>
        <v>349.32658239409739</v>
      </c>
      <c r="R11" s="41" t="s">
        <v>111</v>
      </c>
      <c r="S11">
        <v>0.34</v>
      </c>
      <c r="T11" s="45">
        <f t="shared" si="5"/>
        <v>14.972999999999999</v>
      </c>
      <c r="U11">
        <f t="shared" si="22"/>
        <v>17.405802863304309</v>
      </c>
      <c r="V11">
        <f t="shared" si="6"/>
        <v>75.13784167090887</v>
      </c>
      <c r="W11">
        <f t="shared" si="29"/>
        <v>46.577880449100753</v>
      </c>
      <c r="X11">
        <f t="shared" si="7"/>
        <v>1662.3866681117506</v>
      </c>
      <c r="Z11" s="40" t="s">
        <v>31</v>
      </c>
      <c r="AA11">
        <v>0.67500000000000004</v>
      </c>
      <c r="AB11" s="45">
        <f t="shared" si="30"/>
        <v>12.502248746854677</v>
      </c>
      <c r="AC11">
        <f t="shared" ref="AC11:AC34" si="33">IF(EXP(0.893-$C$2+0.76*LN(AB11)-0.034*(LN(AB11))^2)&gt;15, 15, EXP(0.893-$C$2+0.76*LN(AB11)-0.034*(LN(AB11))^2))</f>
        <v>11.429136279865288</v>
      </c>
      <c r="AD11">
        <f t="shared" si="8"/>
        <v>68.447482005353919</v>
      </c>
      <c r="AE11">
        <f t="shared" si="31"/>
        <v>46.577880449100753</v>
      </c>
      <c r="AF11">
        <f t="shared" si="24"/>
        <v>1514.365851096491</v>
      </c>
      <c r="AH11" s="41" t="s">
        <v>122</v>
      </c>
      <c r="AI11">
        <v>0.49</v>
      </c>
      <c r="AJ11" s="45">
        <f t="shared" si="9"/>
        <v>6.5100000000000007</v>
      </c>
      <c r="AK11">
        <f t="shared" si="25"/>
        <v>7.6738700839854843</v>
      </c>
      <c r="AL11">
        <f t="shared" si="10"/>
        <v>9.4957795543187338</v>
      </c>
      <c r="AM11">
        <f t="shared" si="32"/>
        <v>46.577880449100753</v>
      </c>
      <c r="AN11">
        <f t="shared" si="11"/>
        <v>210.08931030473477</v>
      </c>
      <c r="AQ11">
        <f>AQ10+Calculations!$C$24</f>
        <v>1.4524253333333328</v>
      </c>
      <c r="AR11">
        <f t="shared" si="12"/>
        <v>5.3304009733333313</v>
      </c>
      <c r="AS11">
        <f t="shared" si="13"/>
        <v>13.837966220490282</v>
      </c>
      <c r="AT11">
        <f t="shared" si="26"/>
        <v>4.5665288527617935</v>
      </c>
      <c r="AU11">
        <f t="shared" si="14"/>
        <v>18.404495073252075</v>
      </c>
      <c r="AV11">
        <f t="shared" si="15"/>
        <v>23.734896046585405</v>
      </c>
      <c r="BA11">
        <f t="shared" si="16"/>
        <v>232.88940224550376</v>
      </c>
      <c r="BB11" s="30">
        <f t="shared" si="17"/>
        <v>8.6198497493709354</v>
      </c>
      <c r="BC11" s="30">
        <f t="shared" si="18"/>
        <v>8.6198497493709354</v>
      </c>
    </row>
    <row r="12" spans="1:56" ht="19">
      <c r="A12" s="39">
        <v>8</v>
      </c>
      <c r="B12" s="41" t="s">
        <v>106</v>
      </c>
      <c r="C12">
        <v>0.88100000000000001</v>
      </c>
      <c r="D12" s="45">
        <f t="shared" si="19"/>
        <v>2.9760000000000004</v>
      </c>
      <c r="E12">
        <f t="shared" si="20"/>
        <v>4.5804863350725551</v>
      </c>
      <c r="F12">
        <f t="shared" si="0"/>
        <v>2.2074594662838409</v>
      </c>
      <c r="G12">
        <f t="shared" si="27"/>
        <v>46.344991046855249</v>
      </c>
      <c r="H12">
        <f t="shared" si="1"/>
        <v>48.594727370579719</v>
      </c>
      <c r="J12" s="40" t="s">
        <v>9</v>
      </c>
      <c r="K12">
        <v>0.82499999999999996</v>
      </c>
      <c r="L12" s="45">
        <f t="shared" si="2"/>
        <v>7.44</v>
      </c>
      <c r="M12">
        <f t="shared" si="21"/>
        <v>8.3452165344823772</v>
      </c>
      <c r="N12">
        <f t="shared" si="3"/>
        <v>22.238607785899386</v>
      </c>
      <c r="O12">
        <f t="shared" si="28"/>
        <v>46.344991046855249</v>
      </c>
      <c r="P12">
        <f t="shared" si="4"/>
        <v>489.55783739771539</v>
      </c>
      <c r="R12" s="41" t="s">
        <v>111</v>
      </c>
      <c r="S12">
        <v>0.34</v>
      </c>
      <c r="T12" s="45">
        <f t="shared" si="5"/>
        <v>17.111999999999998</v>
      </c>
      <c r="U12">
        <f t="shared" si="22"/>
        <v>18.968952535336339</v>
      </c>
      <c r="V12">
        <f t="shared" si="6"/>
        <v>106.05030033613085</v>
      </c>
      <c r="W12">
        <f t="shared" si="29"/>
        <v>46.344991046855249</v>
      </c>
      <c r="X12">
        <f t="shared" si="7"/>
        <v>2334.5776043072897</v>
      </c>
      <c r="Z12" s="40" t="s">
        <v>31</v>
      </c>
      <c r="AA12">
        <v>0.67500000000000004</v>
      </c>
      <c r="AB12" s="45">
        <f t="shared" si="30"/>
        <v>13.787306798171738</v>
      </c>
      <c r="AC12">
        <f t="shared" si="33"/>
        <v>12.102276493370498</v>
      </c>
      <c r="AD12">
        <f t="shared" si="8"/>
        <v>87.61080562375632</v>
      </c>
      <c r="AE12">
        <f t="shared" si="31"/>
        <v>46.344991046855249</v>
      </c>
      <c r="AF12">
        <f t="shared" si="24"/>
        <v>1928.652951064362</v>
      </c>
      <c r="AH12" s="41" t="s">
        <v>122</v>
      </c>
      <c r="AI12">
        <v>0.49</v>
      </c>
      <c r="AJ12" s="45">
        <f t="shared" si="9"/>
        <v>7.44</v>
      </c>
      <c r="AK12">
        <f t="shared" si="25"/>
        <v>8.3452165344823772</v>
      </c>
      <c r="AL12">
        <f t="shared" si="10"/>
        <v>13.374572698868434</v>
      </c>
      <c r="AM12">
        <f t="shared" si="32"/>
        <v>46.344991046855249</v>
      </c>
      <c r="AN12">
        <f t="shared" si="11"/>
        <v>294.42611469267177</v>
      </c>
      <c r="AQ12">
        <f>AQ11+Calculations!$C$24</f>
        <v>1.659914666666666</v>
      </c>
      <c r="AR12">
        <f t="shared" si="12"/>
        <v>6.0918868266666637</v>
      </c>
      <c r="AS12">
        <f t="shared" si="13"/>
        <v>18.701619891835712</v>
      </c>
      <c r="AT12">
        <f t="shared" si="26"/>
        <v>6.1715345643057855</v>
      </c>
      <c r="AU12">
        <f t="shared" si="14"/>
        <v>24.873154456141499</v>
      </c>
      <c r="AV12">
        <f t="shared" si="15"/>
        <v>30.965041282808162</v>
      </c>
      <c r="AX12" s="38" t="s">
        <v>18</v>
      </c>
      <c r="AY12" t="s">
        <v>104</v>
      </c>
      <c r="BA12">
        <f t="shared" si="16"/>
        <v>231.72495523427625</v>
      </c>
      <c r="BB12">
        <f t="shared" si="17"/>
        <v>9.7510613596343454</v>
      </c>
      <c r="BC12">
        <f t="shared" si="18"/>
        <v>9.7510613596343472</v>
      </c>
    </row>
    <row r="13" spans="1:56">
      <c r="A13" s="39">
        <v>9</v>
      </c>
      <c r="B13" s="41" t="s">
        <v>106</v>
      </c>
      <c r="C13">
        <v>0.88100000000000001</v>
      </c>
      <c r="D13" s="45">
        <f t="shared" si="19"/>
        <v>3.3480000000000003</v>
      </c>
      <c r="E13">
        <f t="shared" si="20"/>
        <v>4.9635136380079485</v>
      </c>
      <c r="F13">
        <f t="shared" si="0"/>
        <v>3.0045748397301977</v>
      </c>
      <c r="G13">
        <f t="shared" si="27"/>
        <v>46.113266091620972</v>
      </c>
      <c r="H13">
        <f t="shared" si="1"/>
        <v>65.811610561417311</v>
      </c>
      <c r="J13" s="40" t="s">
        <v>9</v>
      </c>
      <c r="K13">
        <v>0.82499999999999996</v>
      </c>
      <c r="L13" s="45">
        <f t="shared" si="2"/>
        <v>8.370000000000001</v>
      </c>
      <c r="M13">
        <f t="shared" si="21"/>
        <v>8.9769341186041984</v>
      </c>
      <c r="N13">
        <f t="shared" si="3"/>
        <v>30.052954720259297</v>
      </c>
      <c r="O13">
        <f t="shared" si="28"/>
        <v>46.113266091620972</v>
      </c>
      <c r="P13">
        <f t="shared" si="4"/>
        <v>658.27395148100788</v>
      </c>
      <c r="R13" s="41" t="s">
        <v>111</v>
      </c>
      <c r="S13">
        <v>0.34</v>
      </c>
      <c r="T13" s="45">
        <f t="shared" si="5"/>
        <v>19.251000000000001</v>
      </c>
      <c r="U13">
        <f t="shared" si="22"/>
        <v>20.424292378619654</v>
      </c>
      <c r="V13">
        <f t="shared" si="6"/>
        <v>143.4481024059962</v>
      </c>
      <c r="W13">
        <f t="shared" si="29"/>
        <v>46.113266091620972</v>
      </c>
      <c r="X13">
        <f t="shared" si="7"/>
        <v>3142.0587453782537</v>
      </c>
      <c r="Z13" s="40" t="s">
        <v>31</v>
      </c>
      <c r="AA13">
        <v>0.67500000000000004</v>
      </c>
      <c r="AB13" s="45">
        <f t="shared" si="30"/>
        <v>14.920808331435939</v>
      </c>
      <c r="AC13">
        <f t="shared" si="33"/>
        <v>12.668662753203611</v>
      </c>
      <c r="AD13">
        <f t="shared" si="8"/>
        <v>106.88664693160936</v>
      </c>
      <c r="AE13">
        <f t="shared" si="31"/>
        <v>46.113266091620972</v>
      </c>
      <c r="AF13">
        <f t="shared" si="24"/>
        <v>2341.2238860092612</v>
      </c>
      <c r="AH13" s="41" t="s">
        <v>122</v>
      </c>
      <c r="AI13">
        <v>0.49</v>
      </c>
      <c r="AJ13" s="45">
        <f t="shared" si="9"/>
        <v>8.370000000000001</v>
      </c>
      <c r="AK13">
        <f t="shared" si="25"/>
        <v>8.9769341186041984</v>
      </c>
      <c r="AL13">
        <f t="shared" si="10"/>
        <v>18.074217216815455</v>
      </c>
      <c r="AM13">
        <f t="shared" si="32"/>
        <v>46.113266091620972</v>
      </c>
      <c r="AN13">
        <f t="shared" si="11"/>
        <v>395.89406426046486</v>
      </c>
      <c r="AQ13">
        <f>AQ12+Calculations!$C$24</f>
        <v>1.8674039999999992</v>
      </c>
      <c r="AR13">
        <f t="shared" si="12"/>
        <v>6.853372679999997</v>
      </c>
      <c r="AS13">
        <f t="shared" si="13"/>
        <v>24.233972485723786</v>
      </c>
      <c r="AT13">
        <f t="shared" si="26"/>
        <v>7.9972109202888495</v>
      </c>
      <c r="AU13">
        <f t="shared" si="14"/>
        <v>32.231183406012633</v>
      </c>
      <c r="AV13">
        <f t="shared" si="15"/>
        <v>39.084556086012633</v>
      </c>
      <c r="AX13">
        <f>AX7-AX10</f>
        <v>127264.80748622757</v>
      </c>
      <c r="AY13">
        <f>AX13/AX4</f>
        <v>290.45944878746451</v>
      </c>
      <c r="BA13">
        <f t="shared" si="16"/>
        <v>230.56633045810486</v>
      </c>
      <c r="BB13">
        <f t="shared" si="17"/>
        <v>10.85196166628719</v>
      </c>
      <c r="BC13">
        <f t="shared" si="18"/>
        <v>10.851961666287188</v>
      </c>
    </row>
    <row r="14" spans="1:56">
      <c r="A14" s="39">
        <v>10</v>
      </c>
      <c r="B14" s="41" t="s">
        <v>106</v>
      </c>
      <c r="C14">
        <v>0.88100000000000001</v>
      </c>
      <c r="D14" s="45">
        <f t="shared" si="19"/>
        <v>3.72</v>
      </c>
      <c r="E14">
        <f t="shared" si="20"/>
        <v>5.3289440925668474</v>
      </c>
      <c r="F14">
        <f t="shared" si="0"/>
        <v>3.9556070796444329</v>
      </c>
      <c r="G14">
        <f t="shared" si="27"/>
        <v>45.882699761162868</v>
      </c>
      <c r="H14">
        <f t="shared" si="1"/>
        <v>86.209617704016495</v>
      </c>
      <c r="J14" s="40" t="s">
        <v>9</v>
      </c>
      <c r="K14">
        <v>0.82499999999999996</v>
      </c>
      <c r="L14" s="45">
        <f t="shared" si="2"/>
        <v>9.3000000000000007</v>
      </c>
      <c r="M14">
        <f t="shared" si="21"/>
        <v>9.5747828932343708</v>
      </c>
      <c r="N14">
        <f t="shared" si="3"/>
        <v>39.312863127983853</v>
      </c>
      <c r="O14">
        <f t="shared" si="28"/>
        <v>45.882699761162868</v>
      </c>
      <c r="P14">
        <f t="shared" si="4"/>
        <v>856.79564043516234</v>
      </c>
      <c r="R14" s="41" t="s">
        <v>111</v>
      </c>
      <c r="S14">
        <v>0.34</v>
      </c>
      <c r="T14" s="45">
        <f t="shared" si="5"/>
        <v>21.39</v>
      </c>
      <c r="U14">
        <f t="shared" si="22"/>
        <v>21.784262303192751</v>
      </c>
      <c r="V14">
        <f t="shared" si="6"/>
        <v>187.64516037153859</v>
      </c>
      <c r="W14">
        <f t="shared" si="29"/>
        <v>45.882699761162868</v>
      </c>
      <c r="X14">
        <f t="shared" si="7"/>
        <v>4089.5916136072165</v>
      </c>
      <c r="Z14" s="40" t="s">
        <v>31</v>
      </c>
      <c r="AA14">
        <v>0.67500000000000004</v>
      </c>
      <c r="AB14" s="45">
        <f t="shared" si="30"/>
        <v>15.93476000434122</v>
      </c>
      <c r="AC14">
        <f t="shared" si="33"/>
        <v>13.1558721993145</v>
      </c>
      <c r="AD14">
        <f t="shared" si="8"/>
        <v>126.08249358094318</v>
      </c>
      <c r="AE14">
        <f t="shared" si="31"/>
        <v>45.882699761162868</v>
      </c>
      <c r="AF14">
        <f t="shared" si="24"/>
        <v>2747.8774691037511</v>
      </c>
      <c r="AH14" s="41" t="s">
        <v>122</v>
      </c>
      <c r="AI14">
        <v>0.49</v>
      </c>
      <c r="AJ14" s="45">
        <f t="shared" si="9"/>
        <v>9.3000000000000007</v>
      </c>
      <c r="AK14">
        <f t="shared" si="25"/>
        <v>9.5747828932343708</v>
      </c>
      <c r="AL14">
        <f t="shared" si="10"/>
        <v>23.643240213952069</v>
      </c>
      <c r="AM14">
        <f t="shared" si="32"/>
        <v>45.882699761162868</v>
      </c>
      <c r="AN14">
        <f t="shared" si="11"/>
        <v>515.28745375596202</v>
      </c>
      <c r="AQ14">
        <f>AQ13+Calculations!$C$24</f>
        <v>2.0748933333333324</v>
      </c>
      <c r="AR14">
        <f t="shared" si="12"/>
        <v>7.6148585333333294</v>
      </c>
      <c r="AS14">
        <f t="shared" si="13"/>
        <v>30.445445786204417</v>
      </c>
      <c r="AT14">
        <f t="shared" si="26"/>
        <v>10.046997109447458</v>
      </c>
      <c r="AU14">
        <f t="shared" si="14"/>
        <v>40.492442895651877</v>
      </c>
      <c r="AV14">
        <f t="shared" si="15"/>
        <v>48.10730142898521</v>
      </c>
      <c r="AY14">
        <f>AY13/30</f>
        <v>9.6819816262488168</v>
      </c>
      <c r="BA14">
        <f t="shared" si="16"/>
        <v>229.41349880581436</v>
      </c>
      <c r="BB14" s="30">
        <f t="shared" si="17"/>
        <v>11.928952000868245</v>
      </c>
      <c r="BC14" s="30">
        <f t="shared" si="18"/>
        <v>11.928952000868245</v>
      </c>
    </row>
    <row r="15" spans="1:56">
      <c r="A15" s="39">
        <v>11</v>
      </c>
      <c r="B15" s="41" t="s">
        <v>106</v>
      </c>
      <c r="C15">
        <v>0.88100000000000001</v>
      </c>
      <c r="D15" s="45">
        <f t="shared" si="19"/>
        <v>4.0920000000000005</v>
      </c>
      <c r="E15">
        <f t="shared" si="20"/>
        <v>5.6789458598553804</v>
      </c>
      <c r="F15">
        <f t="shared" si="0"/>
        <v>5.0696175060479165</v>
      </c>
      <c r="G15">
        <f t="shared" si="27"/>
        <v>45.653286262357057</v>
      </c>
      <c r="H15">
        <f t="shared" si="1"/>
        <v>109.93623214102453</v>
      </c>
      <c r="J15" s="40" t="s">
        <v>9</v>
      </c>
      <c r="K15">
        <v>0.82499999999999996</v>
      </c>
      <c r="L15" s="45">
        <f t="shared" si="2"/>
        <v>10.23</v>
      </c>
      <c r="M15">
        <f t="shared" si="21"/>
        <v>10.143233278539444</v>
      </c>
      <c r="N15">
        <f t="shared" si="3"/>
        <v>50.093287554435221</v>
      </c>
      <c r="O15">
        <f t="shared" si="28"/>
        <v>45.653286262357057</v>
      </c>
      <c r="P15">
        <f t="shared" si="4"/>
        <v>1086.2885183589694</v>
      </c>
      <c r="R15" s="41" t="s">
        <v>111</v>
      </c>
      <c r="S15">
        <v>0.34</v>
      </c>
      <c r="T15" s="45">
        <f t="shared" si="5"/>
        <v>23.529</v>
      </c>
      <c r="U15">
        <f t="shared" si="22"/>
        <v>23.058962009663002</v>
      </c>
      <c r="V15">
        <f t="shared" si="6"/>
        <v>238.91315302630261</v>
      </c>
      <c r="W15">
        <f t="shared" si="29"/>
        <v>45.653286262357057</v>
      </c>
      <c r="X15">
        <f t="shared" si="7"/>
        <v>5180.9060193022524</v>
      </c>
      <c r="Z15" s="40" t="s">
        <v>31</v>
      </c>
      <c r="AA15">
        <v>0.67500000000000004</v>
      </c>
      <c r="AB15" s="45">
        <f t="shared" si="30"/>
        <v>16.851990863113315</v>
      </c>
      <c r="AC15">
        <f t="shared" si="33"/>
        <v>13.582195396567352</v>
      </c>
      <c r="AD15">
        <f t="shared" si="8"/>
        <v>145.08329583462321</v>
      </c>
      <c r="AE15">
        <f t="shared" si="31"/>
        <v>45.653286262357057</v>
      </c>
      <c r="AF15">
        <f t="shared" si="24"/>
        <v>3146.1763873965369</v>
      </c>
      <c r="AH15" s="41" t="s">
        <v>122</v>
      </c>
      <c r="AI15">
        <v>0.49</v>
      </c>
      <c r="AJ15" s="45">
        <f t="shared" si="9"/>
        <v>10.23</v>
      </c>
      <c r="AK15">
        <f t="shared" si="25"/>
        <v>10.143233278539444</v>
      </c>
      <c r="AL15">
        <f t="shared" si="10"/>
        <v>30.126720277288221</v>
      </c>
      <c r="AM15">
        <f t="shared" si="32"/>
        <v>45.653286262357057</v>
      </c>
      <c r="AN15">
        <f t="shared" si="11"/>
        <v>653.30729785837309</v>
      </c>
      <c r="AQ15">
        <f>AQ14+Calculations!$C$24</f>
        <v>2.2823826666666656</v>
      </c>
      <c r="AR15">
        <f t="shared" si="12"/>
        <v>8.3763443866666627</v>
      </c>
      <c r="AS15">
        <f t="shared" si="13"/>
        <v>37.348175050059766</v>
      </c>
      <c r="AT15">
        <f t="shared" si="26"/>
        <v>12.324897766519722</v>
      </c>
      <c r="AU15">
        <f t="shared" si="14"/>
        <v>49.673072816579491</v>
      </c>
      <c r="AV15">
        <f t="shared" si="15"/>
        <v>58.049417203246151</v>
      </c>
      <c r="BA15">
        <f t="shared" si="16"/>
        <v>228.26643131178528</v>
      </c>
      <c r="BB15">
        <f t="shared" si="17"/>
        <v>12.986598172622664</v>
      </c>
      <c r="BC15">
        <f t="shared" si="18"/>
        <v>12.986598172622664</v>
      </c>
    </row>
    <row r="16" spans="1:56">
      <c r="A16" s="39">
        <v>12</v>
      </c>
      <c r="B16" s="41" t="s">
        <v>106</v>
      </c>
      <c r="C16">
        <v>0.88100000000000001</v>
      </c>
      <c r="D16" s="45">
        <f t="shared" si="19"/>
        <v>4.4640000000000013</v>
      </c>
      <c r="E16">
        <f t="shared" si="20"/>
        <v>6.0152621208069359</v>
      </c>
      <c r="F16">
        <f t="shared" si="0"/>
        <v>6.3551471270081539</v>
      </c>
      <c r="G16">
        <f t="shared" si="27"/>
        <v>45.425019831045269</v>
      </c>
      <c r="H16">
        <f t="shared" si="1"/>
        <v>137.12427502993899</v>
      </c>
      <c r="J16" s="40" t="s">
        <v>9</v>
      </c>
      <c r="K16">
        <v>0.82499999999999996</v>
      </c>
      <c r="L16" s="45">
        <f t="shared" si="2"/>
        <v>11.16</v>
      </c>
      <c r="M16">
        <f t="shared" si="21"/>
        <v>10.685841331129799</v>
      </c>
      <c r="N16">
        <f t="shared" si="3"/>
        <v>62.464308682529619</v>
      </c>
      <c r="O16">
        <f t="shared" si="28"/>
        <v>45.425019831045269</v>
      </c>
      <c r="P16">
        <f t="shared" si="4"/>
        <v>1347.7851688023095</v>
      </c>
      <c r="R16" s="41" t="s">
        <v>111</v>
      </c>
      <c r="S16">
        <v>0.34</v>
      </c>
      <c r="T16" s="45">
        <f t="shared" si="5"/>
        <v>25.667999999999999</v>
      </c>
      <c r="U16">
        <f t="shared" si="22"/>
        <v>24.256772210620053</v>
      </c>
      <c r="V16">
        <f t="shared" si="6"/>
        <v>297.48751825172172</v>
      </c>
      <c r="W16">
        <f t="shared" si="29"/>
        <v>45.425019831045269</v>
      </c>
      <c r="X16">
        <f t="shared" si="7"/>
        <v>6418.8537976346279</v>
      </c>
      <c r="Z16" s="40" t="s">
        <v>31</v>
      </c>
      <c r="AA16">
        <v>0.67500000000000004</v>
      </c>
      <c r="AB16" s="45">
        <f t="shared" si="30"/>
        <v>17.689357031165791</v>
      </c>
      <c r="AC16">
        <f t="shared" si="33"/>
        <v>13.96035481220796</v>
      </c>
      <c r="AD16">
        <f t="shared" si="8"/>
        <v>163.82055944635707</v>
      </c>
      <c r="AE16">
        <f t="shared" si="31"/>
        <v>45.425019831045269</v>
      </c>
      <c r="AF16">
        <f t="shared" si="24"/>
        <v>3534.737276752257</v>
      </c>
      <c r="AH16" s="41" t="s">
        <v>122</v>
      </c>
      <c r="AI16">
        <v>0.49</v>
      </c>
      <c r="AJ16" s="45">
        <f t="shared" si="9"/>
        <v>11.16</v>
      </c>
      <c r="AK16">
        <f t="shared" si="25"/>
        <v>10.685841331129799</v>
      </c>
      <c r="AL16">
        <f t="shared" si="10"/>
        <v>37.566804792913622</v>
      </c>
      <c r="AM16">
        <f t="shared" si="32"/>
        <v>45.425019831045269</v>
      </c>
      <c r="AN16">
        <f t="shared" si="11"/>
        <v>810.57460503587606</v>
      </c>
      <c r="AQ16">
        <f>AQ15+Calculations!$C$24</f>
        <v>2.4898719999999988</v>
      </c>
      <c r="AR16">
        <f t="shared" si="12"/>
        <v>9.137830239999996</v>
      </c>
      <c r="AS16">
        <f t="shared" si="13"/>
        <v>44.954105702345885</v>
      </c>
      <c r="AT16">
        <f t="shared" si="26"/>
        <v>14.834854881774143</v>
      </c>
      <c r="AU16">
        <f t="shared" si="14"/>
        <v>59.788960584120026</v>
      </c>
      <c r="AV16">
        <f t="shared" si="15"/>
        <v>68.926790824120019</v>
      </c>
      <c r="BA16">
        <f t="shared" si="16"/>
        <v>227.12509915522634</v>
      </c>
      <c r="BB16">
        <f t="shared" si="17"/>
        <v>14.028271406233159</v>
      </c>
      <c r="BC16">
        <f t="shared" si="18"/>
        <v>14.028271406233157</v>
      </c>
    </row>
    <row r="17" spans="1:55">
      <c r="A17" s="39">
        <v>13</v>
      </c>
      <c r="B17" s="41" t="s">
        <v>106</v>
      </c>
      <c r="C17">
        <v>0.88100000000000001</v>
      </c>
      <c r="D17" s="45">
        <f t="shared" si="19"/>
        <v>4.8360000000000003</v>
      </c>
      <c r="E17">
        <f t="shared" si="20"/>
        <v>6.3393213558251986</v>
      </c>
      <c r="F17">
        <f t="shared" si="0"/>
        <v>7.8202841700279597</v>
      </c>
      <c r="G17">
        <f t="shared" si="27"/>
        <v>45.197894731890045</v>
      </c>
      <c r="H17">
        <f t="shared" si="1"/>
        <v>167.89368082793519</v>
      </c>
      <c r="J17" s="40" t="s">
        <v>9</v>
      </c>
      <c r="K17">
        <v>0.82499999999999996</v>
      </c>
      <c r="L17" s="45">
        <f t="shared" si="2"/>
        <v>12.09</v>
      </c>
      <c r="M17">
        <f t="shared" si="21"/>
        <v>11.205493366958343</v>
      </c>
      <c r="N17">
        <f t="shared" si="3"/>
        <v>76.491802769412587</v>
      </c>
      <c r="O17">
        <f t="shared" si="28"/>
        <v>45.197894731890045</v>
      </c>
      <c r="P17">
        <f t="shared" si="4"/>
        <v>1642.2025134765925</v>
      </c>
      <c r="R17" s="41" t="s">
        <v>111</v>
      </c>
      <c r="S17">
        <v>0.34</v>
      </c>
      <c r="T17" s="45">
        <f t="shared" si="5"/>
        <v>27.806999999999999</v>
      </c>
      <c r="U17">
        <f t="shared" si="22"/>
        <v>25.38476965008298</v>
      </c>
      <c r="V17">
        <f t="shared" si="6"/>
        <v>363.57233702389618</v>
      </c>
      <c r="W17">
        <f t="shared" si="29"/>
        <v>45.197894731890045</v>
      </c>
      <c r="X17">
        <f t="shared" si="7"/>
        <v>7805.5345027108215</v>
      </c>
      <c r="Z17" s="40" t="s">
        <v>31</v>
      </c>
      <c r="AA17">
        <v>0.67500000000000004</v>
      </c>
      <c r="AB17" s="45">
        <f t="shared" si="30"/>
        <v>18.459659234441144</v>
      </c>
      <c r="AC17">
        <f t="shared" si="33"/>
        <v>14.299538088674256</v>
      </c>
      <c r="AD17">
        <f t="shared" si="8"/>
        <v>182.25457962307632</v>
      </c>
      <c r="AE17">
        <f t="shared" si="31"/>
        <v>45.197894731890045</v>
      </c>
      <c r="AF17">
        <f t="shared" si="24"/>
        <v>3912.8235694991213</v>
      </c>
      <c r="AH17" s="41" t="s">
        <v>122</v>
      </c>
      <c r="AI17">
        <v>0.49</v>
      </c>
      <c r="AJ17" s="45">
        <f t="shared" si="9"/>
        <v>12.09</v>
      </c>
      <c r="AK17">
        <f t="shared" si="25"/>
        <v>11.205493366958343</v>
      </c>
      <c r="AL17">
        <f t="shared" si="10"/>
        <v>46.003112553461492</v>
      </c>
      <c r="AM17">
        <f t="shared" si="32"/>
        <v>45.197894731890045</v>
      </c>
      <c r="AN17">
        <f t="shared" si="11"/>
        <v>987.64082330205486</v>
      </c>
      <c r="AQ17">
        <f>AQ16+Calculations!$C$24</f>
        <v>2.6973613333333319</v>
      </c>
      <c r="AR17">
        <f t="shared" si="12"/>
        <v>9.8993160933333275</v>
      </c>
      <c r="AS17">
        <f t="shared" si="13"/>
        <v>53.274068979626655</v>
      </c>
      <c r="AT17">
        <f t="shared" si="26"/>
        <v>17.580442763276796</v>
      </c>
      <c r="AU17">
        <f t="shared" si="14"/>
        <v>70.854511742903455</v>
      </c>
      <c r="AV17">
        <f t="shared" si="15"/>
        <v>80.753827836236781</v>
      </c>
      <c r="BA17">
        <f t="shared" si="16"/>
        <v>225.98947365945023</v>
      </c>
      <c r="BB17">
        <f t="shared" si="17"/>
        <v>15.05653184688823</v>
      </c>
      <c r="BC17">
        <f t="shared" si="18"/>
        <v>15.056531846888229</v>
      </c>
    </row>
    <row r="18" spans="1:55">
      <c r="A18" s="39">
        <v>14</v>
      </c>
      <c r="B18" s="41" t="s">
        <v>106</v>
      </c>
      <c r="C18">
        <v>0.88100000000000001</v>
      </c>
      <c r="D18" s="45">
        <f t="shared" si="19"/>
        <v>5.2080000000000011</v>
      </c>
      <c r="E18">
        <f t="shared" si="20"/>
        <v>6.6523129477924181</v>
      </c>
      <c r="F18">
        <f t="shared" si="0"/>
        <v>9.472718306831073</v>
      </c>
      <c r="G18">
        <f t="shared" si="27"/>
        <v>44.971905258230592</v>
      </c>
      <c r="H18">
        <f t="shared" si="1"/>
        <v>202.35294036053889</v>
      </c>
      <c r="J18" s="40" t="s">
        <v>9</v>
      </c>
      <c r="K18">
        <v>0.82499999999999996</v>
      </c>
      <c r="L18" s="45">
        <f t="shared" si="2"/>
        <v>13.020000000000001</v>
      </c>
      <c r="M18">
        <f t="shared" si="21"/>
        <v>11.704571823480883</v>
      </c>
      <c r="N18">
        <f t="shared" si="3"/>
        <v>92.237974490053972</v>
      </c>
      <c r="O18">
        <f t="shared" si="28"/>
        <v>44.971905258230592</v>
      </c>
      <c r="P18">
        <f t="shared" si="4"/>
        <v>1970.3557887394536</v>
      </c>
      <c r="R18" s="41" t="s">
        <v>111</v>
      </c>
      <c r="S18">
        <v>0.34</v>
      </c>
      <c r="T18" s="45">
        <f t="shared" si="5"/>
        <v>29.945999999999998</v>
      </c>
      <c r="U18">
        <f t="shared" si="22"/>
        <v>26.449015687252821</v>
      </c>
      <c r="V18">
        <f t="shared" si="6"/>
        <v>437.34438015125659</v>
      </c>
      <c r="W18">
        <f t="shared" si="29"/>
        <v>44.971905258230592</v>
      </c>
      <c r="X18">
        <f t="shared" si="7"/>
        <v>9342.3997639564004</v>
      </c>
      <c r="Z18" s="40" t="s">
        <v>31</v>
      </c>
      <c r="AA18">
        <v>0.67500000000000004</v>
      </c>
      <c r="AB18" s="45">
        <f t="shared" si="30"/>
        <v>19.172847679578592</v>
      </c>
      <c r="AC18">
        <f t="shared" si="33"/>
        <v>14.60658479924488</v>
      </c>
      <c r="AD18">
        <f t="shared" si="8"/>
        <v>200.36384099779482</v>
      </c>
      <c r="AE18">
        <f t="shared" si="31"/>
        <v>44.971905258230592</v>
      </c>
      <c r="AF18">
        <f t="shared" si="24"/>
        <v>4280.1032454008027</v>
      </c>
      <c r="AH18" s="41" t="s">
        <v>122</v>
      </c>
      <c r="AI18">
        <v>0.49</v>
      </c>
      <c r="AJ18" s="45">
        <f t="shared" si="9"/>
        <v>13.020000000000001</v>
      </c>
      <c r="AK18">
        <f t="shared" si="25"/>
        <v>11.704571823480883</v>
      </c>
      <c r="AL18">
        <f t="shared" si="10"/>
        <v>55.473054216811313</v>
      </c>
      <c r="AM18">
        <f t="shared" si="32"/>
        <v>44.971905258230592</v>
      </c>
      <c r="AN18">
        <f t="shared" si="11"/>
        <v>1184.9962458459854</v>
      </c>
      <c r="AQ18">
        <f>AQ17+Calculations!$C$24</f>
        <v>2.9048506666666651</v>
      </c>
      <c r="AR18">
        <f t="shared" si="12"/>
        <v>10.660801946666661</v>
      </c>
      <c r="AS18">
        <f t="shared" si="13"/>
        <v>62.317363302392664</v>
      </c>
      <c r="AT18">
        <f t="shared" si="26"/>
        <v>20.564729889789579</v>
      </c>
      <c r="AU18">
        <f t="shared" si="14"/>
        <v>82.882093192182239</v>
      </c>
      <c r="AV18">
        <f t="shared" si="15"/>
        <v>93.542895138848905</v>
      </c>
      <c r="BA18">
        <f t="shared" si="16"/>
        <v>224.85952629115297</v>
      </c>
      <c r="BB18">
        <f t="shared" si="17"/>
        <v>16.073369535915717</v>
      </c>
      <c r="BC18">
        <f t="shared" si="18"/>
        <v>16.073369535915717</v>
      </c>
    </row>
    <row r="19" spans="1:55">
      <c r="A19" s="39">
        <v>15</v>
      </c>
      <c r="B19" s="41" t="s">
        <v>106</v>
      </c>
      <c r="C19">
        <v>0.88100000000000001</v>
      </c>
      <c r="D19" s="45">
        <f t="shared" si="19"/>
        <v>5.58</v>
      </c>
      <c r="E19">
        <f t="shared" si="20"/>
        <v>6.9552406681794228</v>
      </c>
      <c r="F19">
        <f t="shared" si="0"/>
        <v>11.319784980405091</v>
      </c>
      <c r="G19">
        <f t="shared" si="27"/>
        <v>44.747045731939437</v>
      </c>
      <c r="H19">
        <f t="shared" si="1"/>
        <v>240.60029469210619</v>
      </c>
      <c r="J19" s="40" t="s">
        <v>9</v>
      </c>
      <c r="K19">
        <v>0.82499999999999996</v>
      </c>
      <c r="L19" s="45">
        <f t="shared" si="2"/>
        <v>13.950000000000001</v>
      </c>
      <c r="M19">
        <f t="shared" si="21"/>
        <v>12.185071442047949</v>
      </c>
      <c r="N19">
        <f t="shared" si="3"/>
        <v>109.76178905594149</v>
      </c>
      <c r="O19">
        <f t="shared" si="28"/>
        <v>44.747045731939437</v>
      </c>
      <c r="P19">
        <f t="shared" si="4"/>
        <v>2332.9700023902092</v>
      </c>
      <c r="R19" s="41" t="s">
        <v>111</v>
      </c>
      <c r="S19">
        <v>0.34</v>
      </c>
      <c r="T19" s="45">
        <f t="shared" si="5"/>
        <v>32.085000000000001</v>
      </c>
      <c r="U19">
        <f t="shared" si="22"/>
        <v>27.454763680090526</v>
      </c>
      <c r="V19">
        <f t="shared" si="6"/>
        <v>518.95650631786361</v>
      </c>
      <c r="W19">
        <f t="shared" si="29"/>
        <v>44.747045731939437</v>
      </c>
      <c r="X19">
        <f t="shared" si="7"/>
        <v>11030.340997519155</v>
      </c>
      <c r="Z19" s="40" t="s">
        <v>31</v>
      </c>
      <c r="AA19">
        <v>0.67500000000000004</v>
      </c>
      <c r="AB19" s="45">
        <f t="shared" si="30"/>
        <v>19.836810237335275</v>
      </c>
      <c r="AC19">
        <f t="shared" si="33"/>
        <v>14.886716120856725</v>
      </c>
      <c r="AD19">
        <f t="shared" si="8"/>
        <v>218.13849317001043</v>
      </c>
      <c r="AE19">
        <f t="shared" si="31"/>
        <v>44.747045731939437</v>
      </c>
      <c r="AF19">
        <f t="shared" si="24"/>
        <v>4636.5002366430372</v>
      </c>
      <c r="AH19" s="41" t="s">
        <v>122</v>
      </c>
      <c r="AI19">
        <v>0.49</v>
      </c>
      <c r="AJ19" s="45">
        <f t="shared" si="9"/>
        <v>13.950000000000001</v>
      </c>
      <c r="AK19">
        <f t="shared" si="25"/>
        <v>12.185071442047949</v>
      </c>
      <c r="AL19">
        <f t="shared" si="10"/>
        <v>66.012092187594689</v>
      </c>
      <c r="AM19">
        <f t="shared" si="32"/>
        <v>44.747045731939437</v>
      </c>
      <c r="AN19">
        <f t="shared" si="11"/>
        <v>1403.0769012901681</v>
      </c>
      <c r="AQ19">
        <f>AQ18+Calculations!$C$24</f>
        <v>3.1123399999999983</v>
      </c>
      <c r="AR19">
        <f t="shared" si="12"/>
        <v>11.422287799999994</v>
      </c>
      <c r="AS19">
        <f t="shared" si="13"/>
        <v>72.09160254740226</v>
      </c>
      <c r="AT19">
        <f t="shared" si="26"/>
        <v>23.790228840642747</v>
      </c>
      <c r="AU19">
        <f t="shared" si="14"/>
        <v>95.881831388045015</v>
      </c>
      <c r="AV19">
        <f t="shared" si="15"/>
        <v>107.30411918804501</v>
      </c>
      <c r="BA19">
        <f t="shared" si="16"/>
        <v>223.73522865969719</v>
      </c>
      <c r="BB19" s="30">
        <f t="shared" si="17"/>
        <v>17.080362047467055</v>
      </c>
      <c r="BC19" s="30">
        <f t="shared" si="18"/>
        <v>17.080362047467055</v>
      </c>
    </row>
    <row r="20" spans="1:55">
      <c r="A20" s="39">
        <v>16</v>
      </c>
      <c r="B20" s="41" t="s">
        <v>106</v>
      </c>
      <c r="C20">
        <v>0.88100000000000001</v>
      </c>
      <c r="D20" s="45">
        <f t="shared" si="19"/>
        <v>5.9520000000000008</v>
      </c>
      <c r="E20">
        <f t="shared" si="20"/>
        <v>7.2489615322552217</v>
      </c>
      <c r="F20">
        <f t="shared" si="0"/>
        <v>13.368502193583335</v>
      </c>
      <c r="G20">
        <f t="shared" si="27"/>
        <v>44.523310503279738</v>
      </c>
      <c r="H20">
        <f t="shared" si="1"/>
        <v>282.72473771112635</v>
      </c>
      <c r="J20" s="40" t="s">
        <v>9</v>
      </c>
      <c r="K20">
        <v>0.82499999999999996</v>
      </c>
      <c r="L20" s="45">
        <f t="shared" si="2"/>
        <v>14.88</v>
      </c>
      <c r="M20">
        <f t="shared" si="21"/>
        <v>12.648682912170818</v>
      </c>
      <c r="N20">
        <f t="shared" si="3"/>
        <v>129.11932822242116</v>
      </c>
      <c r="O20">
        <f t="shared" si="28"/>
        <v>44.523310503279738</v>
      </c>
      <c r="P20">
        <f t="shared" si="4"/>
        <v>2730.6894726503301</v>
      </c>
      <c r="R20" s="41" t="s">
        <v>111</v>
      </c>
      <c r="S20">
        <v>0.34</v>
      </c>
      <c r="T20" s="45">
        <f t="shared" si="5"/>
        <v>34.223999999999997</v>
      </c>
      <c r="U20">
        <f t="shared" si="22"/>
        <v>28.406612181678351</v>
      </c>
      <c r="V20">
        <f t="shared" si="6"/>
        <v>608.54054685194808</v>
      </c>
      <c r="W20">
        <f t="shared" si="29"/>
        <v>44.523310503279738</v>
      </c>
      <c r="X20">
        <f t="shared" si="7"/>
        <v>12869.763867629343</v>
      </c>
      <c r="Z20" s="40" t="s">
        <v>31</v>
      </c>
      <c r="AA20">
        <v>0.67500000000000004</v>
      </c>
      <c r="AB20" s="45">
        <f t="shared" si="30"/>
        <v>20.45790573089565</v>
      </c>
      <c r="AC20">
        <f t="shared" si="33"/>
        <v>15</v>
      </c>
      <c r="AD20">
        <f t="shared" si="8"/>
        <v>233.38966743936277</v>
      </c>
      <c r="AE20">
        <f t="shared" si="31"/>
        <v>44.523310503279738</v>
      </c>
      <c r="AF20">
        <f t="shared" si="24"/>
        <v>4935.8583000384742</v>
      </c>
      <c r="AH20" s="41" t="s">
        <v>122</v>
      </c>
      <c r="AI20">
        <v>0.49</v>
      </c>
      <c r="AJ20" s="45">
        <f t="shared" si="9"/>
        <v>14.88</v>
      </c>
      <c r="AK20">
        <f t="shared" si="25"/>
        <v>12.648682912170818</v>
      </c>
      <c r="AL20">
        <f t="shared" si="10"/>
        <v>77.653954724395717</v>
      </c>
      <c r="AM20">
        <f t="shared" si="32"/>
        <v>44.523310503279738</v>
      </c>
      <c r="AN20">
        <f t="shared" si="11"/>
        <v>1642.2702905509011</v>
      </c>
      <c r="AQ20">
        <f>AQ19+Calculations!$C$24</f>
        <v>3.3198293333333315</v>
      </c>
      <c r="AR20">
        <f t="shared" si="12"/>
        <v>12.183773653333326</v>
      </c>
      <c r="AS20">
        <f t="shared" si="13"/>
        <v>82.432995473689232</v>
      </c>
      <c r="AT20">
        <f t="shared" si="26"/>
        <v>27.202888506317446</v>
      </c>
      <c r="AU20">
        <f t="shared" si="14"/>
        <v>109.63588398000668</v>
      </c>
      <c r="AV20">
        <f t="shared" si="15"/>
        <v>121.81965763334</v>
      </c>
      <c r="BA20">
        <f t="shared" si="16"/>
        <v>222.61655251639868</v>
      </c>
      <c r="BB20">
        <f t="shared" si="17"/>
        <v>18.078781146179129</v>
      </c>
      <c r="BC20">
        <f t="shared" si="18"/>
        <v>18.078781146179129</v>
      </c>
    </row>
    <row r="21" spans="1:55">
      <c r="A21" s="39">
        <v>17</v>
      </c>
      <c r="B21" s="41" t="s">
        <v>106</v>
      </c>
      <c r="C21">
        <v>0.88100000000000001</v>
      </c>
      <c r="D21" s="45">
        <f t="shared" si="19"/>
        <v>6.3240000000000007</v>
      </c>
      <c r="E21">
        <f t="shared" si="20"/>
        <v>7.5342146719757022</v>
      </c>
      <c r="F21">
        <f t="shared" si="0"/>
        <v>15.625601439674639</v>
      </c>
      <c r="G21">
        <f t="shared" si="27"/>
        <v>44.300693950763339</v>
      </c>
      <c r="H21">
        <f t="shared" si="1"/>
        <v>328.80686890842577</v>
      </c>
      <c r="J21" s="40" t="s">
        <v>9</v>
      </c>
      <c r="K21">
        <v>0.82499999999999996</v>
      </c>
      <c r="L21" s="45">
        <f t="shared" si="2"/>
        <v>15.81</v>
      </c>
      <c r="M21">
        <f t="shared" si="21"/>
        <v>13.096854516159084</v>
      </c>
      <c r="N21">
        <f t="shared" si="3"/>
        <v>150.36408758062223</v>
      </c>
      <c r="O21">
        <f t="shared" si="28"/>
        <v>44.300693950763339</v>
      </c>
      <c r="P21">
        <f t="shared" si="4"/>
        <v>3164.0858769200868</v>
      </c>
      <c r="R21" s="41" t="s">
        <v>111</v>
      </c>
      <c r="S21">
        <v>0.34</v>
      </c>
      <c r="T21" s="45">
        <f t="shared" si="5"/>
        <v>36.363</v>
      </c>
      <c r="U21">
        <f t="shared" si="22"/>
        <v>29.308620788856356</v>
      </c>
      <c r="V21">
        <f t="shared" si="6"/>
        <v>706.20977720101848</v>
      </c>
      <c r="W21">
        <f t="shared" si="29"/>
        <v>44.300693950763339</v>
      </c>
      <c r="X21">
        <f t="shared" si="7"/>
        <v>14860.652022289065</v>
      </c>
      <c r="Z21" s="40" t="s">
        <v>31</v>
      </c>
      <c r="AA21">
        <v>0.67500000000000004</v>
      </c>
      <c r="AB21" s="45">
        <f t="shared" si="30"/>
        <v>21.041335266393169</v>
      </c>
      <c r="AC21">
        <f t="shared" si="33"/>
        <v>15</v>
      </c>
      <c r="AD21">
        <f t="shared" si="8"/>
        <v>246.55833567535828</v>
      </c>
      <c r="AE21">
        <f t="shared" si="31"/>
        <v>44.300693950763339</v>
      </c>
      <c r="AF21">
        <f t="shared" si="24"/>
        <v>5188.2850506377199</v>
      </c>
      <c r="AH21" s="41" t="s">
        <v>122</v>
      </c>
      <c r="AI21">
        <v>0.49</v>
      </c>
      <c r="AJ21" s="45">
        <f t="shared" si="9"/>
        <v>15.81</v>
      </c>
      <c r="AK21">
        <f t="shared" si="25"/>
        <v>13.096854516159084</v>
      </c>
      <c r="AL21">
        <f t="shared" si="10"/>
        <v>90.430814734777698</v>
      </c>
      <c r="AM21">
        <f t="shared" si="32"/>
        <v>44.300693950763339</v>
      </c>
      <c r="AN21">
        <f t="shared" si="11"/>
        <v>1902.9202274596939</v>
      </c>
      <c r="AQ21">
        <f>AQ20+Calculations!$C$24</f>
        <v>3.5273186666666647</v>
      </c>
      <c r="AR21">
        <f t="shared" si="12"/>
        <v>12.945259506666659</v>
      </c>
      <c r="AS21">
        <f t="shared" si="13"/>
        <v>93.382232669609024</v>
      </c>
      <c r="AT21">
        <f t="shared" si="26"/>
        <v>30.816136780970979</v>
      </c>
      <c r="AU21">
        <f t="shared" si="14"/>
        <v>124.19836945058</v>
      </c>
      <c r="AV21">
        <f t="shared" si="15"/>
        <v>137.14362895724668</v>
      </c>
      <c r="BA21">
        <f t="shared" si="16"/>
        <v>221.50346975381669</v>
      </c>
      <c r="BB21">
        <f t="shared" si="17"/>
        <v>19.069667053278636</v>
      </c>
      <c r="BC21">
        <f t="shared" si="18"/>
        <v>19.069667053278636</v>
      </c>
    </row>
    <row r="22" spans="1:55">
      <c r="A22" s="39">
        <v>18</v>
      </c>
      <c r="B22" s="41" t="s">
        <v>106</v>
      </c>
      <c r="C22">
        <v>0.88100000000000001</v>
      </c>
      <c r="D22" s="45">
        <f t="shared" si="19"/>
        <v>6.6960000000000006</v>
      </c>
      <c r="E22">
        <f t="shared" si="20"/>
        <v>7.8116432153777851</v>
      </c>
      <c r="F22">
        <f t="shared" si="0"/>
        <v>18.097554001825131</v>
      </c>
      <c r="G22">
        <f t="shared" si="27"/>
        <v>44.079190481009519</v>
      </c>
      <c r="H22">
        <f t="shared" si="1"/>
        <v>378.91962679123287</v>
      </c>
      <c r="J22" s="40" t="s">
        <v>9</v>
      </c>
      <c r="K22">
        <v>0.82499999999999996</v>
      </c>
      <c r="L22" s="45">
        <f t="shared" si="2"/>
        <v>16.740000000000002</v>
      </c>
      <c r="M22">
        <f t="shared" si="21"/>
        <v>13.53083848856452</v>
      </c>
      <c r="N22">
        <f t="shared" si="3"/>
        <v>173.54722774118568</v>
      </c>
      <c r="O22">
        <f t="shared" si="28"/>
        <v>44.079190481009519</v>
      </c>
      <c r="P22">
        <f t="shared" si="4"/>
        <v>3633.6651218010597</v>
      </c>
      <c r="R22" s="41" t="s">
        <v>111</v>
      </c>
      <c r="S22">
        <v>0.34</v>
      </c>
      <c r="T22" s="45">
        <f t="shared" si="5"/>
        <v>38.502000000000002</v>
      </c>
      <c r="U22">
        <f t="shared" si="22"/>
        <v>30</v>
      </c>
      <c r="V22">
        <f t="shared" si="6"/>
        <v>807.74115917312599</v>
      </c>
      <c r="W22">
        <f t="shared" si="29"/>
        <v>44.079190481009519</v>
      </c>
      <c r="X22">
        <f t="shared" si="7"/>
        <v>16912.173796908231</v>
      </c>
      <c r="Z22" s="40" t="s">
        <v>31</v>
      </c>
      <c r="AA22">
        <v>0.67500000000000004</v>
      </c>
      <c r="AB22" s="45">
        <f t="shared" si="30"/>
        <v>21.591407264159848</v>
      </c>
      <c r="AC22">
        <f t="shared" si="33"/>
        <v>15</v>
      </c>
      <c r="AD22">
        <f t="shared" si="8"/>
        <v>259.29672310718399</v>
      </c>
      <c r="AE22">
        <f t="shared" si="31"/>
        <v>44.079190481009519</v>
      </c>
      <c r="AF22">
        <f t="shared" si="24"/>
        <v>5429.0550832479939</v>
      </c>
      <c r="AH22" s="41" t="s">
        <v>122</v>
      </c>
      <c r="AI22">
        <v>0.49</v>
      </c>
      <c r="AJ22" s="45">
        <f t="shared" si="9"/>
        <v>16.740000000000002</v>
      </c>
      <c r="AK22">
        <f t="shared" si="25"/>
        <v>13.53083848856452</v>
      </c>
      <c r="AL22">
        <f t="shared" si="10"/>
        <v>104.37344084027131</v>
      </c>
      <c r="AM22">
        <f t="shared" si="32"/>
        <v>44.079190481009519</v>
      </c>
      <c r="AN22">
        <f t="shared" si="11"/>
        <v>2185.330970479431</v>
      </c>
      <c r="AQ22">
        <f>AQ21+Calculations!$C$24</f>
        <v>3.7348079999999979</v>
      </c>
      <c r="AR22">
        <f t="shared" si="12"/>
        <v>13.706745359999992</v>
      </c>
      <c r="AS22">
        <f t="shared" si="13"/>
        <v>104.73866067916657</v>
      </c>
      <c r="AT22">
        <f t="shared" si="26"/>
        <v>34.563758024124972</v>
      </c>
      <c r="AU22">
        <f t="shared" si="14"/>
        <v>139.30241870329155</v>
      </c>
      <c r="AV22">
        <f t="shared" si="15"/>
        <v>153.00916406329154</v>
      </c>
      <c r="BA22">
        <f t="shared" si="16"/>
        <v>220.39595240504758</v>
      </c>
      <c r="BB22">
        <f t="shared" si="17"/>
        <v>20.053881452831973</v>
      </c>
      <c r="BC22">
        <f t="shared" si="18"/>
        <v>20.053881452831973</v>
      </c>
    </row>
    <row r="23" spans="1:55">
      <c r="A23" s="39">
        <v>19</v>
      </c>
      <c r="B23" s="41" t="s">
        <v>106</v>
      </c>
      <c r="C23">
        <v>0.88100000000000001</v>
      </c>
      <c r="D23" s="45">
        <f t="shared" si="19"/>
        <v>7.0680000000000005</v>
      </c>
      <c r="E23">
        <f t="shared" si="20"/>
        <v>8.0818111525406628</v>
      </c>
      <c r="F23">
        <f t="shared" si="0"/>
        <v>20.790593535622783</v>
      </c>
      <c r="G23">
        <f t="shared" si="27"/>
        <v>43.85879452860447</v>
      </c>
      <c r="H23">
        <f t="shared" si="1"/>
        <v>433.12892575314066</v>
      </c>
      <c r="J23" s="40" t="s">
        <v>9</v>
      </c>
      <c r="K23">
        <v>0.82499999999999996</v>
      </c>
      <c r="L23" s="45">
        <f t="shared" si="2"/>
        <v>17.670000000000002</v>
      </c>
      <c r="M23">
        <f t="shared" si="21"/>
        <v>13.951726501738136</v>
      </c>
      <c r="N23">
        <f t="shared" si="3"/>
        <v>198.71778874623595</v>
      </c>
      <c r="O23">
        <f t="shared" si="28"/>
        <v>43.85879452860447</v>
      </c>
      <c r="P23">
        <f t="shared" si="4"/>
        <v>4139.873266254901</v>
      </c>
      <c r="R23" s="41" t="s">
        <v>111</v>
      </c>
      <c r="S23">
        <v>0.34</v>
      </c>
      <c r="T23" s="45">
        <f t="shared" si="5"/>
        <v>40.640999999999998</v>
      </c>
      <c r="U23">
        <f t="shared" si="22"/>
        <v>30</v>
      </c>
      <c r="V23">
        <f t="shared" si="6"/>
        <v>897.65057291953497</v>
      </c>
      <c r="W23">
        <f t="shared" si="29"/>
        <v>43.85879452860447</v>
      </c>
      <c r="X23">
        <f t="shared" si="7"/>
        <v>18700.689217176936</v>
      </c>
      <c r="Z23" s="40" t="s">
        <v>31</v>
      </c>
      <c r="AA23">
        <v>0.67500000000000004</v>
      </c>
      <c r="AB23" s="45">
        <f t="shared" si="30"/>
        <v>22.111730737465329</v>
      </c>
      <c r="AC23">
        <f t="shared" si="33"/>
        <v>15</v>
      </c>
      <c r="AD23">
        <f t="shared" si="8"/>
        <v>271.634043360193</v>
      </c>
      <c r="AE23">
        <f t="shared" si="31"/>
        <v>43.85879452860447</v>
      </c>
      <c r="AF23">
        <f t="shared" si="24"/>
        <v>5658.9323049866516</v>
      </c>
      <c r="AH23" s="41" t="s">
        <v>122</v>
      </c>
      <c r="AI23">
        <v>0.49</v>
      </c>
      <c r="AJ23" s="45">
        <f t="shared" si="9"/>
        <v>17.670000000000002</v>
      </c>
      <c r="AK23">
        <f t="shared" si="25"/>
        <v>13.951726501738136</v>
      </c>
      <c r="AL23">
        <f t="shared" si="10"/>
        <v>119.51132632637631</v>
      </c>
      <c r="AM23">
        <f t="shared" si="32"/>
        <v>43.85879452860447</v>
      </c>
      <c r="AN23">
        <f t="shared" si="11"/>
        <v>2489.7707849650296</v>
      </c>
      <c r="AQ23">
        <f>AQ22+Calculations!$C$24</f>
        <v>3.9422973333333311</v>
      </c>
      <c r="AR23">
        <f t="shared" si="12"/>
        <v>14.468231213333326</v>
      </c>
      <c r="AS23">
        <f t="shared" si="13"/>
        <v>115.32018781183152</v>
      </c>
      <c r="AT23">
        <f t="shared" si="26"/>
        <v>38.0556619779044</v>
      </c>
      <c r="AU23">
        <f t="shared" si="14"/>
        <v>153.37584978973592</v>
      </c>
      <c r="AV23">
        <f t="shared" si="15"/>
        <v>167.84408100306925</v>
      </c>
      <c r="BA23">
        <f t="shared" si="16"/>
        <v>219.29397264302236</v>
      </c>
      <c r="BB23">
        <f t="shared" si="17"/>
        <v>21.032146147493066</v>
      </c>
      <c r="BC23">
        <f t="shared" si="18"/>
        <v>21.032146147493066</v>
      </c>
    </row>
    <row r="24" spans="1:55">
      <c r="A24" s="39">
        <v>20</v>
      </c>
      <c r="B24" s="41" t="s">
        <v>106</v>
      </c>
      <c r="C24">
        <v>0.88100000000000001</v>
      </c>
      <c r="D24" s="45">
        <f t="shared" si="19"/>
        <v>7.44</v>
      </c>
      <c r="E24">
        <f t="shared" si="20"/>
        <v>8.3452165344823772</v>
      </c>
      <c r="F24">
        <f t="shared" si="0"/>
        <v>23.710735629378988</v>
      </c>
      <c r="G24">
        <f t="shared" si="27"/>
        <v>43.639500555961448</v>
      </c>
      <c r="H24">
        <f t="shared" si="1"/>
        <v>491.49421382325613</v>
      </c>
      <c r="J24" s="40" t="s">
        <v>9</v>
      </c>
      <c r="K24">
        <v>0.82499999999999996</v>
      </c>
      <c r="L24" s="45">
        <f t="shared" si="2"/>
        <v>18.600000000000001</v>
      </c>
      <c r="M24">
        <f t="shared" si="21"/>
        <v>14.360477254040015</v>
      </c>
      <c r="N24">
        <f t="shared" si="3"/>
        <v>225.92287475532757</v>
      </c>
      <c r="O24">
        <f t="shared" si="28"/>
        <v>43.639500555961448</v>
      </c>
      <c r="P24">
        <f t="shared" si="4"/>
        <v>4683.1016737825248</v>
      </c>
      <c r="R24" s="41" t="s">
        <v>111</v>
      </c>
      <c r="S24">
        <v>0.34</v>
      </c>
      <c r="T24" s="45">
        <f t="shared" si="5"/>
        <v>42.78</v>
      </c>
      <c r="U24">
        <f t="shared" si="22"/>
        <v>30</v>
      </c>
      <c r="V24">
        <f t="shared" si="6"/>
        <v>992.18083716958711</v>
      </c>
      <c r="W24">
        <f t="shared" si="29"/>
        <v>43.639500555961448</v>
      </c>
      <c r="X24">
        <f t="shared" si="7"/>
        <v>20566.681192756332</v>
      </c>
      <c r="Z24" s="40" t="s">
        <v>31</v>
      </c>
      <c r="AA24">
        <v>0.67500000000000004</v>
      </c>
      <c r="AB24" s="45">
        <f t="shared" si="30"/>
        <v>22.60535893706513</v>
      </c>
      <c r="AC24">
        <f t="shared" si="33"/>
        <v>15</v>
      </c>
      <c r="AD24">
        <f t="shared" si="8"/>
        <v>283.59677148281878</v>
      </c>
      <c r="AE24">
        <f t="shared" si="31"/>
        <v>43.639500555961448</v>
      </c>
      <c r="AF24">
        <f t="shared" si="24"/>
        <v>5878.6101967268369</v>
      </c>
      <c r="AH24" s="41" t="s">
        <v>122</v>
      </c>
      <c r="AI24">
        <v>0.49</v>
      </c>
      <c r="AJ24" s="45">
        <f t="shared" si="9"/>
        <v>18.600000000000001</v>
      </c>
      <c r="AK24">
        <f t="shared" si="25"/>
        <v>14.360477254040015</v>
      </c>
      <c r="AL24">
        <f t="shared" si="10"/>
        <v>135.8728002149652</v>
      </c>
      <c r="AM24">
        <f t="shared" si="32"/>
        <v>43.639500555961448</v>
      </c>
      <c r="AN24">
        <f t="shared" si="11"/>
        <v>2816.4750417474806</v>
      </c>
      <c r="AQ24">
        <f>AQ23+Calculations!$C$24</f>
        <v>4.1497866666666647</v>
      </c>
      <c r="AR24">
        <f t="shared" si="12"/>
        <v>15.229717066666659</v>
      </c>
      <c r="AS24">
        <f t="shared" si="13"/>
        <v>126.38144971012969</v>
      </c>
      <c r="AT24">
        <f t="shared" si="26"/>
        <v>41.705878404342798</v>
      </c>
      <c r="AU24">
        <f t="shared" si="14"/>
        <v>168.08732811447248</v>
      </c>
      <c r="AV24">
        <f t="shared" si="15"/>
        <v>183.31704518113915</v>
      </c>
      <c r="BA24">
        <f t="shared" si="16"/>
        <v>218.19750277980722</v>
      </c>
      <c r="BB24" s="30">
        <f t="shared" si="17"/>
        <v>22.005071787413026</v>
      </c>
      <c r="BC24" s="30">
        <f t="shared" si="18"/>
        <v>22.00507178741303</v>
      </c>
    </row>
    <row r="25" spans="1:55">
      <c r="A25" s="39">
        <v>21</v>
      </c>
      <c r="B25" s="41" t="s">
        <v>106</v>
      </c>
      <c r="C25">
        <v>0.88100000000000001</v>
      </c>
      <c r="D25" s="45">
        <f t="shared" si="19"/>
        <v>7.8120000000000012</v>
      </c>
      <c r="E25">
        <f t="shared" si="20"/>
        <v>8.6023019416486282</v>
      </c>
      <c r="F25">
        <f t="shared" si="0"/>
        <v>26.863794878005294</v>
      </c>
      <c r="G25">
        <f t="shared" si="27"/>
        <v>43.421303053181639</v>
      </c>
      <c r="H25">
        <f t="shared" si="1"/>
        <v>554.06896481427884</v>
      </c>
      <c r="J25" s="40" t="s">
        <v>9</v>
      </c>
      <c r="K25">
        <v>0.82499999999999996</v>
      </c>
      <c r="L25" s="45">
        <f t="shared" si="2"/>
        <v>19.53</v>
      </c>
      <c r="M25">
        <f t="shared" si="21"/>
        <v>14.757938216721252</v>
      </c>
      <c r="N25">
        <f t="shared" si="3"/>
        <v>255.20781441122642</v>
      </c>
      <c r="O25">
        <f t="shared" si="28"/>
        <v>43.421303053181639</v>
      </c>
      <c r="P25">
        <f t="shared" si="4"/>
        <v>5263.6915292677495</v>
      </c>
      <c r="R25" s="41" t="s">
        <v>111</v>
      </c>
      <c r="S25">
        <v>0.34</v>
      </c>
      <c r="T25" s="45">
        <f t="shared" si="5"/>
        <v>44.918999999999997</v>
      </c>
      <c r="U25">
        <f t="shared" si="22"/>
        <v>30</v>
      </c>
      <c r="V25">
        <f t="shared" si="6"/>
        <v>1091.3205837977491</v>
      </c>
      <c r="W25">
        <f t="shared" si="29"/>
        <v>43.421303053181639</v>
      </c>
      <c r="X25">
        <f t="shared" si="7"/>
        <v>22508.616853697156</v>
      </c>
      <c r="Z25" s="40" t="s">
        <v>31</v>
      </c>
      <c r="AA25">
        <v>0.67500000000000004</v>
      </c>
      <c r="AB25" s="45">
        <f t="shared" si="30"/>
        <v>23.074897912572649</v>
      </c>
      <c r="AC25">
        <f t="shared" si="33"/>
        <v>15</v>
      </c>
      <c r="AD25">
        <f t="shared" si="8"/>
        <v>295.20892419862867</v>
      </c>
      <c r="AE25">
        <f t="shared" si="31"/>
        <v>43.421303053181639</v>
      </c>
      <c r="AF25">
        <f t="shared" si="24"/>
        <v>6088.7191767753811</v>
      </c>
      <c r="AH25" s="41" t="s">
        <v>122</v>
      </c>
      <c r="AI25">
        <v>0.49</v>
      </c>
      <c r="AJ25" s="45">
        <f t="shared" si="9"/>
        <v>19.53</v>
      </c>
      <c r="AK25">
        <f t="shared" si="25"/>
        <v>14.757938216721252</v>
      </c>
      <c r="AL25">
        <f t="shared" si="10"/>
        <v>153.48512371023975</v>
      </c>
      <c r="AM25">
        <f t="shared" si="32"/>
        <v>43.421303053181639</v>
      </c>
      <c r="AN25">
        <f t="shared" si="11"/>
        <v>3165.6489336192622</v>
      </c>
      <c r="AQ25">
        <f>AQ24+Calculations!$C$24</f>
        <v>4.3572759999999979</v>
      </c>
      <c r="AR25">
        <f t="shared" si="12"/>
        <v>15.991202919999992</v>
      </c>
      <c r="AS25">
        <f t="shared" si="13"/>
        <v>137.92133583149794</v>
      </c>
      <c r="AT25">
        <f t="shared" si="26"/>
        <v>45.514040824394321</v>
      </c>
      <c r="AU25">
        <f t="shared" si="14"/>
        <v>183.43537665589227</v>
      </c>
      <c r="AV25">
        <f t="shared" si="15"/>
        <v>199.42657957589228</v>
      </c>
      <c r="BA25">
        <f t="shared" si="16"/>
        <v>217.1065152659082</v>
      </c>
      <c r="BB25">
        <f t="shared" si="17"/>
        <v>22.973179582514529</v>
      </c>
      <c r="BC25">
        <f t="shared" si="18"/>
        <v>22.973179582514529</v>
      </c>
    </row>
    <row r="26" spans="1:55">
      <c r="A26" s="39">
        <v>22</v>
      </c>
      <c r="B26" s="41" t="s">
        <v>106</v>
      </c>
      <c r="C26">
        <v>0.88100000000000001</v>
      </c>
      <c r="D26" s="45">
        <f t="shared" si="19"/>
        <v>8.1840000000000011</v>
      </c>
      <c r="E26">
        <f t="shared" si="20"/>
        <v>8.8534628869504211</v>
      </c>
      <c r="F26">
        <f t="shared" si="0"/>
        <v>30.255399890044405</v>
      </c>
      <c r="G26">
        <f t="shared" si="27"/>
        <v>43.204196537915728</v>
      </c>
      <c r="H26">
        <f t="shared" si="1"/>
        <v>620.90111551178836</v>
      </c>
      <c r="J26" s="40" t="s">
        <v>9</v>
      </c>
      <c r="K26">
        <v>0.82499999999999996</v>
      </c>
      <c r="L26" s="45">
        <f t="shared" si="2"/>
        <v>20.46</v>
      </c>
      <c r="M26">
        <f t="shared" si="21"/>
        <v>15</v>
      </c>
      <c r="N26">
        <f t="shared" si="3"/>
        <v>283.94025981282613</v>
      </c>
      <c r="O26">
        <f t="shared" si="28"/>
        <v>43.204196537915728</v>
      </c>
      <c r="P26">
        <f t="shared" si="4"/>
        <v>5827.0201252405923</v>
      </c>
      <c r="R26" s="41" t="s">
        <v>111</v>
      </c>
      <c r="S26">
        <v>0.34</v>
      </c>
      <c r="T26" s="45">
        <f t="shared" si="5"/>
        <v>47.058</v>
      </c>
      <c r="U26">
        <f t="shared" si="22"/>
        <v>30</v>
      </c>
      <c r="V26">
        <f t="shared" si="6"/>
        <v>1195.0590258744487</v>
      </c>
      <c r="W26">
        <f t="shared" si="29"/>
        <v>43.204196537915728</v>
      </c>
      <c r="X26">
        <f t="shared" si="7"/>
        <v>24524.993388437651</v>
      </c>
      <c r="Z26" s="40" t="s">
        <v>31</v>
      </c>
      <c r="AA26">
        <v>0.67500000000000004</v>
      </c>
      <c r="AB26" s="45">
        <f t="shared" si="30"/>
        <v>23.522589795837231</v>
      </c>
      <c r="AC26">
        <f t="shared" si="33"/>
        <v>15</v>
      </c>
      <c r="AD26">
        <f t="shared" si="8"/>
        <v>306.49232176019245</v>
      </c>
      <c r="AE26">
        <f t="shared" si="31"/>
        <v>43.204196537915728</v>
      </c>
      <c r="AF26">
        <f t="shared" si="24"/>
        <v>6289.8333906774933</v>
      </c>
      <c r="AH26" s="41" t="s">
        <v>122</v>
      </c>
      <c r="AI26">
        <v>0.49</v>
      </c>
      <c r="AJ26" s="45">
        <f t="shared" si="9"/>
        <v>20.46</v>
      </c>
      <c r="AK26">
        <f t="shared" si="25"/>
        <v>15.144862989408429</v>
      </c>
      <c r="AL26">
        <f t="shared" si="10"/>
        <v>172.37457454960551</v>
      </c>
      <c r="AM26">
        <f t="shared" si="32"/>
        <v>43.204196537915728</v>
      </c>
      <c r="AN26">
        <f t="shared" si="11"/>
        <v>3537.4698735658621</v>
      </c>
      <c r="AQ26">
        <f>AQ25+Calculations!$C$24</f>
        <v>4.5647653333333311</v>
      </c>
      <c r="AR26">
        <f t="shared" si="12"/>
        <v>16.752688773333325</v>
      </c>
      <c r="AS26">
        <f t="shared" si="13"/>
        <v>149.73679966890052</v>
      </c>
      <c r="AT26">
        <f t="shared" si="26"/>
        <v>49.413143890737175</v>
      </c>
      <c r="AU26">
        <f t="shared" si="14"/>
        <v>199.14994355963768</v>
      </c>
      <c r="AV26">
        <f t="shared" si="15"/>
        <v>215.902632332971</v>
      </c>
      <c r="BA26">
        <f t="shared" si="16"/>
        <v>216.02098268957863</v>
      </c>
      <c r="BB26">
        <f t="shared" si="17"/>
        <v>23.936917959167449</v>
      </c>
      <c r="BC26">
        <f t="shared" si="18"/>
        <v>23.936917959167449</v>
      </c>
    </row>
    <row r="27" spans="1:55">
      <c r="A27" s="39">
        <v>23</v>
      </c>
      <c r="B27" s="41" t="s">
        <v>106</v>
      </c>
      <c r="C27">
        <v>0.88100000000000001</v>
      </c>
      <c r="D27" s="45">
        <f t="shared" si="19"/>
        <v>8.5560000000000009</v>
      </c>
      <c r="E27">
        <f t="shared" si="20"/>
        <v>9.0990546340281195</v>
      </c>
      <c r="F27">
        <f t="shared" si="0"/>
        <v>33.891006560556306</v>
      </c>
      <c r="G27">
        <f t="shared" si="27"/>
        <v>42.98817555522615</v>
      </c>
      <c r="H27">
        <f t="shared" si="1"/>
        <v>692.03345639004488</v>
      </c>
      <c r="J27" s="40" t="s">
        <v>9</v>
      </c>
      <c r="K27">
        <v>0.82499999999999996</v>
      </c>
      <c r="L27" s="45">
        <f t="shared" si="2"/>
        <v>21.39</v>
      </c>
      <c r="M27">
        <f t="shared" si="21"/>
        <v>15</v>
      </c>
      <c r="N27">
        <f t="shared" si="3"/>
        <v>309.67820309664239</v>
      </c>
      <c r="O27">
        <f t="shared" si="28"/>
        <v>42.98817555522615</v>
      </c>
      <c r="P27">
        <f t="shared" si="4"/>
        <v>6323.4379561640844</v>
      </c>
      <c r="R27" s="41" t="s">
        <v>111</v>
      </c>
      <c r="S27">
        <v>0.34</v>
      </c>
      <c r="T27" s="45">
        <f t="shared" si="5"/>
        <v>49.197000000000003</v>
      </c>
      <c r="U27">
        <f t="shared" si="22"/>
        <v>30</v>
      </c>
      <c r="V27">
        <f t="shared" si="6"/>
        <v>1303.3859022710749</v>
      </c>
      <c r="W27">
        <f t="shared" si="29"/>
        <v>42.98817555522615</v>
      </c>
      <c r="X27">
        <f t="shared" si="7"/>
        <v>26614.336441942003</v>
      </c>
      <c r="Z27" s="40" t="s">
        <v>31</v>
      </c>
      <c r="AA27">
        <v>0.67500000000000004</v>
      </c>
      <c r="AB27" s="45">
        <f t="shared" si="30"/>
        <v>23.95037755618441</v>
      </c>
      <c r="AC27">
        <f t="shared" si="33"/>
        <v>15</v>
      </c>
      <c r="AD27">
        <f t="shared" si="8"/>
        <v>317.46682601663952</v>
      </c>
      <c r="AE27">
        <f t="shared" si="31"/>
        <v>42.98817555522615</v>
      </c>
      <c r="AF27">
        <f t="shared" si="24"/>
        <v>6482.4768336377747</v>
      </c>
      <c r="AH27" s="41" t="s">
        <v>122</v>
      </c>
      <c r="AI27">
        <v>0.49</v>
      </c>
      <c r="AJ27" s="45">
        <f t="shared" si="9"/>
        <v>21.39</v>
      </c>
      <c r="AK27">
        <f t="shared" si="25"/>
        <v>15.521925305780961</v>
      </c>
      <c r="AL27">
        <f t="shared" si="10"/>
        <v>192.56652125642114</v>
      </c>
      <c r="AM27">
        <f t="shared" si="32"/>
        <v>42.98817555522615</v>
      </c>
      <c r="AN27">
        <f t="shared" si="11"/>
        <v>3932.0896253693545</v>
      </c>
      <c r="AQ27">
        <f>AQ26+Calculations!$C$24</f>
        <v>4.7722546666666643</v>
      </c>
      <c r="AR27">
        <f t="shared" si="12"/>
        <v>17.514174626666659</v>
      </c>
      <c r="AS27">
        <f t="shared" si="13"/>
        <v>161.64285373055696</v>
      </c>
      <c r="AT27">
        <f t="shared" si="26"/>
        <v>53.3421417310838</v>
      </c>
      <c r="AU27">
        <f t="shared" si="14"/>
        <v>214.98499546164078</v>
      </c>
      <c r="AV27">
        <f t="shared" si="15"/>
        <v>232.49917008830744</v>
      </c>
      <c r="BA27">
        <f t="shared" si="16"/>
        <v>214.94087777613075</v>
      </c>
      <c r="BB27">
        <f t="shared" si="17"/>
        <v>24.896675511236882</v>
      </c>
      <c r="BC27">
        <f t="shared" si="18"/>
        <v>24.896675511236882</v>
      </c>
    </row>
    <row r="28" spans="1:55">
      <c r="A28" s="39">
        <v>24</v>
      </c>
      <c r="B28" s="41" t="s">
        <v>106</v>
      </c>
      <c r="C28">
        <v>0.88100000000000001</v>
      </c>
      <c r="D28" s="45">
        <f t="shared" si="19"/>
        <v>8.9280000000000026</v>
      </c>
      <c r="E28">
        <f t="shared" si="20"/>
        <v>9.3393977838929612</v>
      </c>
      <c r="F28">
        <f t="shared" si="0"/>
        <v>37.775909876734268</v>
      </c>
      <c r="G28">
        <f t="shared" si="27"/>
        <v>42.77323467745002</v>
      </c>
      <c r="H28">
        <f t="shared" si="1"/>
        <v>767.50398269808454</v>
      </c>
      <c r="J28" s="40" t="s">
        <v>9</v>
      </c>
      <c r="K28">
        <v>0.82499999999999996</v>
      </c>
      <c r="L28" s="45">
        <f t="shared" si="2"/>
        <v>22.32</v>
      </c>
      <c r="M28">
        <f t="shared" si="21"/>
        <v>15</v>
      </c>
      <c r="N28">
        <f t="shared" si="3"/>
        <v>336.50401179750594</v>
      </c>
      <c r="O28">
        <f t="shared" si="28"/>
        <v>42.77323467745002</v>
      </c>
      <c r="P28">
        <f t="shared" si="4"/>
        <v>6836.848406596112</v>
      </c>
      <c r="R28" s="41" t="s">
        <v>111</v>
      </c>
      <c r="S28">
        <v>0.34</v>
      </c>
      <c r="T28" s="45">
        <f t="shared" si="5"/>
        <v>51.335999999999999</v>
      </c>
      <c r="U28">
        <f t="shared" si="22"/>
        <v>30</v>
      </c>
      <c r="V28">
        <f t="shared" si="6"/>
        <v>1416.2914297770417</v>
      </c>
      <c r="W28">
        <f t="shared" si="29"/>
        <v>42.77323467745002</v>
      </c>
      <c r="X28">
        <f t="shared" si="7"/>
        <v>28775.198706319447</v>
      </c>
      <c r="Z28" s="40" t="s">
        <v>31</v>
      </c>
      <c r="AA28">
        <v>0.67500000000000004</v>
      </c>
      <c r="AB28" s="45">
        <f t="shared" si="30"/>
        <v>24.359955963889707</v>
      </c>
      <c r="AC28">
        <f t="shared" si="33"/>
        <v>15</v>
      </c>
      <c r="AD28">
        <f t="shared" si="8"/>
        <v>328.15055351727852</v>
      </c>
      <c r="AE28">
        <f t="shared" si="31"/>
        <v>42.77323467745002</v>
      </c>
      <c r="AF28">
        <f t="shared" si="24"/>
        <v>6667.1288016865956</v>
      </c>
      <c r="AH28" s="41" t="s">
        <v>122</v>
      </c>
      <c r="AI28">
        <v>0.49</v>
      </c>
      <c r="AJ28" s="45">
        <f t="shared" si="9"/>
        <v>22.32</v>
      </c>
      <c r="AK28">
        <f t="shared" si="25"/>
        <v>15.889730450213174</v>
      </c>
      <c r="AL28">
        <f t="shared" si="10"/>
        <v>214.08548888865965</v>
      </c>
      <c r="AM28">
        <f t="shared" si="32"/>
        <v>42.77323467745002</v>
      </c>
      <c r="AN28">
        <f t="shared" si="11"/>
        <v>4349.6362072038473</v>
      </c>
      <c r="AQ28">
        <f>AQ27+Calculations!$C$24</f>
        <v>4.9797439999999975</v>
      </c>
      <c r="AR28">
        <f t="shared" si="12"/>
        <v>18.275660479999992</v>
      </c>
      <c r="AS28">
        <f t="shared" si="13"/>
        <v>173.94448010353</v>
      </c>
      <c r="AT28">
        <f t="shared" si="26"/>
        <v>57.4016784341649</v>
      </c>
      <c r="AU28">
        <f t="shared" si="14"/>
        <v>231.34615853769489</v>
      </c>
      <c r="AV28">
        <f t="shared" si="15"/>
        <v>249.62181901769489</v>
      </c>
      <c r="BA28">
        <f t="shared" si="16"/>
        <v>213.86617338725011</v>
      </c>
      <c r="BB28">
        <f t="shared" si="17"/>
        <v>25.852791192777943</v>
      </c>
      <c r="BC28">
        <f t="shared" si="18"/>
        <v>25.852791192777939</v>
      </c>
    </row>
    <row r="29" spans="1:55">
      <c r="A29" s="39">
        <v>25</v>
      </c>
      <c r="B29" s="41" t="s">
        <v>106</v>
      </c>
      <c r="C29">
        <v>0.88100000000000001</v>
      </c>
      <c r="D29" s="45">
        <f t="shared" si="19"/>
        <v>9.3000000000000007</v>
      </c>
      <c r="E29">
        <f t="shared" si="20"/>
        <v>9.5747828932343708</v>
      </c>
      <c r="F29">
        <f t="shared" si="0"/>
        <v>41.91525447256717</v>
      </c>
      <c r="G29">
        <f t="shared" si="27"/>
        <v>42.559368504062768</v>
      </c>
      <c r="H29">
        <f t="shared" si="1"/>
        <v>847.34621149378677</v>
      </c>
      <c r="J29" s="40" t="s">
        <v>9</v>
      </c>
      <c r="K29">
        <v>0.82499999999999996</v>
      </c>
      <c r="L29" s="45">
        <f t="shared" si="2"/>
        <v>23.25</v>
      </c>
      <c r="M29">
        <f t="shared" si="21"/>
        <v>15</v>
      </c>
      <c r="N29">
        <f t="shared" si="3"/>
        <v>364.415465122976</v>
      </c>
      <c r="O29">
        <f t="shared" si="28"/>
        <v>42.559368504062768</v>
      </c>
      <c r="P29">
        <f t="shared" si="4"/>
        <v>7366.91373265538</v>
      </c>
      <c r="R29" s="41" t="s">
        <v>111</v>
      </c>
      <c r="S29">
        <v>0.34</v>
      </c>
      <c r="T29" s="45">
        <f t="shared" si="5"/>
        <v>53.474999999999994</v>
      </c>
      <c r="U29">
        <f t="shared" si="22"/>
        <v>30</v>
      </c>
      <c r="V29">
        <f t="shared" si="6"/>
        <v>1533.7662614330552</v>
      </c>
      <c r="W29">
        <f t="shared" si="29"/>
        <v>42.559368504062768</v>
      </c>
      <c r="X29">
        <f t="shared" si="7"/>
        <v>31006.158671728332</v>
      </c>
      <c r="Z29" s="40" t="s">
        <v>31</v>
      </c>
      <c r="AA29">
        <v>0.67500000000000004</v>
      </c>
      <c r="AB29" s="45">
        <f t="shared" si="30"/>
        <v>24.752812143234614</v>
      </c>
      <c r="AC29">
        <f t="shared" si="33"/>
        <v>15</v>
      </c>
      <c r="AD29">
        <f t="shared" si="8"/>
        <v>338.56006457057043</v>
      </c>
      <c r="AE29">
        <f t="shared" si="31"/>
        <v>42.559368504062768</v>
      </c>
      <c r="AF29">
        <f t="shared" si="24"/>
        <v>6844.2287106886406</v>
      </c>
      <c r="AH29" s="41" t="s">
        <v>122</v>
      </c>
      <c r="AI29">
        <v>0.49</v>
      </c>
      <c r="AJ29" s="45">
        <f t="shared" si="9"/>
        <v>23.25</v>
      </c>
      <c r="AK29">
        <f t="shared" si="25"/>
        <v>16.248824649431985</v>
      </c>
      <c r="AL29">
        <f t="shared" si="10"/>
        <v>236.95521756952098</v>
      </c>
      <c r="AM29">
        <f t="shared" si="32"/>
        <v>42.559368504062768</v>
      </c>
      <c r="AN29">
        <f t="shared" si="11"/>
        <v>4790.2156011632651</v>
      </c>
      <c r="AQ29">
        <f>AQ28+Calculations!$C$24</f>
        <v>5.1872333333333307</v>
      </c>
      <c r="AR29">
        <f t="shared" si="12"/>
        <v>19.037146333333322</v>
      </c>
      <c r="AS29">
        <f t="shared" si="13"/>
        <v>186.63734694476693</v>
      </c>
      <c r="AT29">
        <f t="shared" si="26"/>
        <v>61.590324491773089</v>
      </c>
      <c r="AU29">
        <f t="shared" si="14"/>
        <v>248.22767143654002</v>
      </c>
      <c r="AV29">
        <f t="shared" si="15"/>
        <v>267.26481776987333</v>
      </c>
      <c r="BA29">
        <f t="shared" si="16"/>
        <v>212.79684252031385</v>
      </c>
      <c r="BB29" s="30">
        <f t="shared" si="17"/>
        <v>26.805562428646919</v>
      </c>
      <c r="BC29" s="30">
        <f t="shared" si="18"/>
        <v>26.805562428646923</v>
      </c>
    </row>
    <row r="30" spans="1:55">
      <c r="A30" s="39">
        <v>26</v>
      </c>
      <c r="B30" s="41" t="s">
        <v>106</v>
      </c>
      <c r="C30">
        <v>0.88100000000000001</v>
      </c>
      <c r="D30" s="45">
        <f t="shared" si="19"/>
        <v>9.6720000000000006</v>
      </c>
      <c r="E30">
        <f t="shared" si="20"/>
        <v>9.8054743233127315</v>
      </c>
      <c r="F30">
        <f t="shared" si="0"/>
        <v>46.314044109543552</v>
      </c>
      <c r="G30">
        <f t="shared" si="27"/>
        <v>42.346571661542455</v>
      </c>
      <c r="H30">
        <f t="shared" si="1"/>
        <v>931.58946921479651</v>
      </c>
      <c r="J30" s="40" t="s">
        <v>9</v>
      </c>
      <c r="K30">
        <v>0.82499999999999996</v>
      </c>
      <c r="L30" s="45">
        <f t="shared" si="2"/>
        <v>24.18</v>
      </c>
      <c r="M30">
        <f t="shared" si="21"/>
        <v>15</v>
      </c>
      <c r="N30">
        <f t="shared" si="3"/>
        <v>393.410437264596</v>
      </c>
      <c r="O30">
        <f t="shared" si="28"/>
        <v>42.346571661542455</v>
      </c>
      <c r="P30">
        <f t="shared" si="4"/>
        <v>7913.3020551613845</v>
      </c>
      <c r="R30" s="41" t="s">
        <v>111</v>
      </c>
      <c r="S30">
        <v>0.34</v>
      </c>
      <c r="T30" s="45">
        <f t="shared" si="5"/>
        <v>55.613999999999997</v>
      </c>
      <c r="U30">
        <f t="shared" si="22"/>
        <v>30</v>
      </c>
      <c r="V30">
        <f t="shared" si="6"/>
        <v>1655.8014500521788</v>
      </c>
      <c r="W30">
        <f t="shared" si="29"/>
        <v>42.346571661542455</v>
      </c>
      <c r="X30">
        <f t="shared" si="7"/>
        <v>33305.819511912232</v>
      </c>
      <c r="Z30" s="40" t="s">
        <v>31</v>
      </c>
      <c r="AA30">
        <v>0.67500000000000004</v>
      </c>
      <c r="AB30" s="45">
        <f t="shared" si="30"/>
        <v>25.13025816716506</v>
      </c>
      <c r="AC30">
        <f t="shared" si="33"/>
        <v>15</v>
      </c>
      <c r="AD30">
        <f t="shared" si="8"/>
        <v>348.71053013727311</v>
      </c>
      <c r="AE30">
        <f t="shared" si="31"/>
        <v>42.346571661542455</v>
      </c>
      <c r="AF30">
        <f t="shared" si="24"/>
        <v>7014.1803404564353</v>
      </c>
      <c r="AH30" s="41" t="s">
        <v>122</v>
      </c>
      <c r="AI30">
        <v>0.49</v>
      </c>
      <c r="AJ30" s="45">
        <f t="shared" si="9"/>
        <v>24.18</v>
      </c>
      <c r="AK30">
        <f t="shared" si="25"/>
        <v>16.599702863113926</v>
      </c>
      <c r="AL30">
        <f t="shared" si="10"/>
        <v>261.19871484763206</v>
      </c>
      <c r="AM30">
        <f t="shared" si="32"/>
        <v>42.346571661542455</v>
      </c>
      <c r="AN30">
        <f t="shared" si="11"/>
        <v>5253.9132956940712</v>
      </c>
      <c r="AQ30">
        <f>AQ29+Calculations!$C$24</f>
        <v>5.3947226666666639</v>
      </c>
      <c r="AR30">
        <f t="shared" si="12"/>
        <v>19.798632186666655</v>
      </c>
      <c r="AS30">
        <f t="shared" si="13"/>
        <v>199.71701314785085</v>
      </c>
      <c r="AT30">
        <f t="shared" si="26"/>
        <v>65.906614338790789</v>
      </c>
      <c r="AU30">
        <f t="shared" si="14"/>
        <v>265.62362748664162</v>
      </c>
      <c r="AV30">
        <f t="shared" si="15"/>
        <v>285.4222596733083</v>
      </c>
      <c r="BA30">
        <f t="shared" si="16"/>
        <v>211.73285830771226</v>
      </c>
      <c r="BB30">
        <f t="shared" si="17"/>
        <v>27.755251633433016</v>
      </c>
      <c r="BC30">
        <f t="shared" si="18"/>
        <v>27.755251633433016</v>
      </c>
    </row>
    <row r="31" spans="1:55">
      <c r="A31" s="39">
        <v>27</v>
      </c>
      <c r="B31" s="41" t="s">
        <v>106</v>
      </c>
      <c r="C31">
        <v>0.88100000000000001</v>
      </c>
      <c r="D31" s="45">
        <f t="shared" si="19"/>
        <v>10.044</v>
      </c>
      <c r="E31">
        <f t="shared" si="20"/>
        <v>10.031713471559929</v>
      </c>
      <c r="F31">
        <f t="shared" si="0"/>
        <v>50.97715022947709</v>
      </c>
      <c r="G31">
        <f t="shared" si="27"/>
        <v>42.134838803234743</v>
      </c>
      <c r="H31">
        <f t="shared" si="1"/>
        <v>1020.2591535944665</v>
      </c>
      <c r="J31" s="40" t="s">
        <v>9</v>
      </c>
      <c r="K31">
        <v>0.82499999999999996</v>
      </c>
      <c r="L31" s="45">
        <f t="shared" si="2"/>
        <v>25.110000000000003</v>
      </c>
      <c r="M31">
        <f t="shared" si="21"/>
        <v>15</v>
      </c>
      <c r="N31">
        <f t="shared" si="3"/>
        <v>423.48688976737662</v>
      </c>
      <c r="O31">
        <f t="shared" si="28"/>
        <v>42.134838803234743</v>
      </c>
      <c r="P31">
        <f t="shared" si="4"/>
        <v>8475.6871219250352</v>
      </c>
      <c r="R31" s="41" t="s">
        <v>111</v>
      </c>
      <c r="S31">
        <v>0.34</v>
      </c>
      <c r="T31" s="45">
        <f t="shared" si="5"/>
        <v>57.753</v>
      </c>
      <c r="U31">
        <f t="shared" si="22"/>
        <v>30</v>
      </c>
      <c r="V31">
        <f t="shared" si="6"/>
        <v>1782.388416104214</v>
      </c>
      <c r="W31">
        <f t="shared" si="29"/>
        <v>42.134838803234743</v>
      </c>
      <c r="X31">
        <f t="shared" si="7"/>
        <v>35672.808083719377</v>
      </c>
      <c r="Z31" s="40" t="s">
        <v>31</v>
      </c>
      <c r="AA31">
        <v>0.67500000000000004</v>
      </c>
      <c r="AB31" s="45">
        <f t="shared" si="30"/>
        <v>25.493457497153905</v>
      </c>
      <c r="AC31">
        <f t="shared" si="33"/>
        <v>15</v>
      </c>
      <c r="AD31">
        <f t="shared" si="8"/>
        <v>358.61587878870461</v>
      </c>
      <c r="AE31">
        <f t="shared" si="31"/>
        <v>42.134838803234743</v>
      </c>
      <c r="AF31">
        <f t="shared" si="24"/>
        <v>7177.3555663951574</v>
      </c>
      <c r="AH31" s="41" t="s">
        <v>122</v>
      </c>
      <c r="AI31">
        <v>0.49</v>
      </c>
      <c r="AJ31" s="45">
        <f t="shared" si="9"/>
        <v>25.110000000000003</v>
      </c>
      <c r="AK31">
        <f t="shared" si="25"/>
        <v>16.942815296002596</v>
      </c>
      <c r="AL31">
        <f t="shared" si="10"/>
        <v>286.83830274781894</v>
      </c>
      <c r="AM31">
        <f t="shared" si="32"/>
        <v>42.134838803234743</v>
      </c>
      <c r="AN31">
        <f t="shared" si="11"/>
        <v>5740.7956832145783</v>
      </c>
      <c r="AQ31">
        <f>AQ30+Calculations!$C$24</f>
        <v>5.6022119999999971</v>
      </c>
      <c r="AR31">
        <f t="shared" si="12"/>
        <v>20.560118039999988</v>
      </c>
      <c r="AS31">
        <f t="shared" si="13"/>
        <v>213.17894358447441</v>
      </c>
      <c r="AT31">
        <f t="shared" si="26"/>
        <v>70.349051382876553</v>
      </c>
      <c r="AU31">
        <f t="shared" si="14"/>
        <v>283.52799496735099</v>
      </c>
      <c r="AV31">
        <f t="shared" si="15"/>
        <v>304.08811300735096</v>
      </c>
      <c r="BA31">
        <f t="shared" si="16"/>
        <v>210.67419401617371</v>
      </c>
      <c r="BB31">
        <f t="shared" si="17"/>
        <v>28.702091499430786</v>
      </c>
      <c r="BC31">
        <f t="shared" si="18"/>
        <v>28.702091499430782</v>
      </c>
    </row>
    <row r="32" spans="1:55">
      <c r="A32" s="39">
        <v>28</v>
      </c>
      <c r="B32" s="41" t="s">
        <v>106</v>
      </c>
      <c r="C32">
        <v>0.88100000000000001</v>
      </c>
      <c r="D32" s="45">
        <f t="shared" si="19"/>
        <v>10.416000000000002</v>
      </c>
      <c r="E32">
        <f t="shared" si="20"/>
        <v>10.25372150352122</v>
      </c>
      <c r="F32">
        <f t="shared" si="0"/>
        <v>55.909319700973043</v>
      </c>
      <c r="G32">
        <f t="shared" si="27"/>
        <v>41.924164609218572</v>
      </c>
      <c r="H32">
        <f t="shared" si="1"/>
        <v>1113.3769731081848</v>
      </c>
      <c r="J32" s="40" t="s">
        <v>9</v>
      </c>
      <c r="K32">
        <v>0.82499999999999996</v>
      </c>
      <c r="L32" s="45">
        <f t="shared" si="2"/>
        <v>26.040000000000003</v>
      </c>
      <c r="M32">
        <f t="shared" si="21"/>
        <v>15</v>
      </c>
      <c r="N32">
        <f t="shared" si="3"/>
        <v>454.64286477746316</v>
      </c>
      <c r="O32">
        <f t="shared" si="28"/>
        <v>41.924164609218572</v>
      </c>
      <c r="P32">
        <f t="shared" si="4"/>
        <v>9053.7480931351056</v>
      </c>
      <c r="R32" s="41" t="s">
        <v>111</v>
      </c>
      <c r="S32">
        <v>0.34</v>
      </c>
      <c r="T32" s="45">
        <f t="shared" si="5"/>
        <v>59.891999999999996</v>
      </c>
      <c r="U32">
        <f t="shared" si="22"/>
        <v>30</v>
      </c>
      <c r="V32">
        <f t="shared" si="6"/>
        <v>1913.5189192962125</v>
      </c>
      <c r="W32">
        <f t="shared" si="29"/>
        <v>41.924164609218572</v>
      </c>
      <c r="X32">
        <f t="shared" si="7"/>
        <v>38105.774023828504</v>
      </c>
      <c r="Z32" s="40" t="s">
        <v>31</v>
      </c>
      <c r="AA32">
        <v>0.67500000000000004</v>
      </c>
      <c r="AB32" s="45">
        <f t="shared" si="30"/>
        <v>25.8434466123025</v>
      </c>
      <c r="AC32">
        <f t="shared" si="33"/>
        <v>15</v>
      </c>
      <c r="AD32">
        <f t="shared" si="8"/>
        <v>368.28892599652124</v>
      </c>
      <c r="AE32">
        <f t="shared" si="31"/>
        <v>41.924164609218572</v>
      </c>
      <c r="AF32">
        <f t="shared" si="24"/>
        <v>7334.0976396844753</v>
      </c>
      <c r="AH32" s="41" t="s">
        <v>122</v>
      </c>
      <c r="AI32">
        <v>0.49</v>
      </c>
      <c r="AJ32" s="45">
        <f t="shared" si="9"/>
        <v>26.040000000000003</v>
      </c>
      <c r="AK32">
        <f t="shared" si="25"/>
        <v>17.278572879814138</v>
      </c>
      <c r="AL32">
        <f t="shared" si="10"/>
        <v>313.89566022577992</v>
      </c>
      <c r="AM32">
        <f t="shared" si="32"/>
        <v>41.924164609218572</v>
      </c>
      <c r="AN32">
        <f t="shared" si="11"/>
        <v>6250.9113314768465</v>
      </c>
      <c r="AQ32">
        <f>AQ31+Calculations!$C$24</f>
        <v>5.8097013333333303</v>
      </c>
      <c r="AR32">
        <f t="shared" si="12"/>
        <v>21.321603893333322</v>
      </c>
      <c r="AS32">
        <f t="shared" si="13"/>
        <v>227.01852258472553</v>
      </c>
      <c r="AT32">
        <f t="shared" si="26"/>
        <v>74.916112452959425</v>
      </c>
      <c r="AU32">
        <f t="shared" si="14"/>
        <v>301.93463503768498</v>
      </c>
      <c r="AV32">
        <f t="shared" si="15"/>
        <v>323.25623893101829</v>
      </c>
      <c r="BA32">
        <f t="shared" si="16"/>
        <v>209.62082304609285</v>
      </c>
      <c r="BB32">
        <f t="shared" si="17"/>
        <v>29.6462893224605</v>
      </c>
      <c r="BC32">
        <f t="shared" si="18"/>
        <v>29.6462893224605</v>
      </c>
    </row>
    <row r="33" spans="1:55">
      <c r="A33" s="39">
        <v>29</v>
      </c>
      <c r="B33" s="41" t="s">
        <v>106</v>
      </c>
      <c r="C33">
        <v>0.88100000000000001</v>
      </c>
      <c r="D33" s="45">
        <f t="shared" si="19"/>
        <v>10.788000000000002</v>
      </c>
      <c r="E33">
        <f t="shared" si="20"/>
        <v>10.471701677036089</v>
      </c>
      <c r="F33">
        <f t="shared" si="0"/>
        <v>61.11518186135973</v>
      </c>
      <c r="G33">
        <f t="shared" si="27"/>
        <v>41.714543786172477</v>
      </c>
      <c r="H33">
        <f t="shared" si="1"/>
        <v>1210.9611666339026</v>
      </c>
      <c r="J33" s="40" t="s">
        <v>9</v>
      </c>
      <c r="K33">
        <v>0.82499999999999996</v>
      </c>
      <c r="L33" s="45">
        <f t="shared" si="2"/>
        <v>26.970000000000002</v>
      </c>
      <c r="M33">
        <f t="shared" si="21"/>
        <v>15</v>
      </c>
      <c r="N33">
        <f t="shared" si="3"/>
        <v>486.8764790386046</v>
      </c>
      <c r="O33">
        <f t="shared" si="28"/>
        <v>41.714543786172477</v>
      </c>
      <c r="P33">
        <f t="shared" si="4"/>
        <v>9647.1693465738445</v>
      </c>
      <c r="R33" s="41" t="s">
        <v>111</v>
      </c>
      <c r="S33">
        <v>0.34</v>
      </c>
      <c r="T33" s="45">
        <f t="shared" si="5"/>
        <v>62.030999999999992</v>
      </c>
      <c r="U33">
        <f t="shared" si="22"/>
        <v>30</v>
      </c>
      <c r="V33">
        <f t="shared" si="6"/>
        <v>2049.1850333045809</v>
      </c>
      <c r="W33">
        <f t="shared" si="29"/>
        <v>41.714543786172477</v>
      </c>
      <c r="X33">
        <f t="shared" si="7"/>
        <v>40603.388928932793</v>
      </c>
      <c r="Z33" s="40" t="s">
        <v>31</v>
      </c>
      <c r="AA33">
        <v>0.67500000000000004</v>
      </c>
      <c r="AB33" s="45">
        <f t="shared" si="30"/>
        <v>26.181152841291034</v>
      </c>
      <c r="AC33">
        <f t="shared" si="33"/>
        <v>15</v>
      </c>
      <c r="AD33">
        <f t="shared" si="8"/>
        <v>377.74148789874562</v>
      </c>
      <c r="AE33">
        <f t="shared" si="31"/>
        <v>41.714543786172477</v>
      </c>
      <c r="AF33">
        <f t="shared" si="24"/>
        <v>7484.724072482928</v>
      </c>
      <c r="AH33" s="41" t="s">
        <v>122</v>
      </c>
      <c r="AI33">
        <v>0.49</v>
      </c>
      <c r="AJ33" s="45">
        <f t="shared" si="9"/>
        <v>26.970000000000002</v>
      </c>
      <c r="AK33">
        <f t="shared" si="25"/>
        <v>17.607351918007453</v>
      </c>
      <c r="AL33">
        <f t="shared" si="10"/>
        <v>342.39186162208756</v>
      </c>
      <c r="AM33">
        <f t="shared" si="32"/>
        <v>41.714543786172477</v>
      </c>
      <c r="AN33">
        <f t="shared" si="11"/>
        <v>6784.2921442402476</v>
      </c>
      <c r="AQ33">
        <f>AQ32+Calculations!$C$24</f>
        <v>6.0171906666666635</v>
      </c>
      <c r="AR33">
        <f t="shared" si="12"/>
        <v>22.083089746666655</v>
      </c>
      <c r="AS33">
        <f t="shared" si="13"/>
        <v>241.23106586802982</v>
      </c>
      <c r="AT33">
        <f t="shared" si="26"/>
        <v>79.606251736449849</v>
      </c>
      <c r="AU33">
        <f t="shared" si="14"/>
        <v>320.83731760447967</v>
      </c>
      <c r="AV33">
        <f t="shared" si="15"/>
        <v>342.92040735114631</v>
      </c>
      <c r="BA33">
        <f t="shared" si="16"/>
        <v>208.57271893086238</v>
      </c>
      <c r="BB33">
        <f t="shared" si="17"/>
        <v>30.588030568258205</v>
      </c>
      <c r="BC33">
        <f t="shared" si="18"/>
        <v>30.588030568258208</v>
      </c>
    </row>
    <row r="34" spans="1:55">
      <c r="A34" s="39">
        <v>30</v>
      </c>
      <c r="B34" s="41" t="s">
        <v>106</v>
      </c>
      <c r="C34">
        <v>0.88100000000000001</v>
      </c>
      <c r="D34" s="45">
        <f t="shared" si="19"/>
        <v>11.16</v>
      </c>
      <c r="E34">
        <f t="shared" si="20"/>
        <v>10.685841331129799</v>
      </c>
      <c r="F34">
        <f t="shared" si="0"/>
        <v>66.599254939982032</v>
      </c>
      <c r="G34">
        <f t="shared" si="27"/>
        <v>41.505971067241617</v>
      </c>
      <c r="H34">
        <f t="shared" si="1"/>
        <v>1313.0267056034027</v>
      </c>
      <c r="J34" s="40" t="s">
        <v>9</v>
      </c>
      <c r="K34">
        <v>0.82499999999999996</v>
      </c>
      <c r="L34" s="45">
        <f t="shared" si="2"/>
        <v>27.900000000000002</v>
      </c>
      <c r="M34">
        <f t="shared" si="21"/>
        <v>15</v>
      </c>
      <c r="N34">
        <f t="shared" si="3"/>
        <v>520.18591853096689</v>
      </c>
      <c r="O34">
        <f t="shared" si="28"/>
        <v>41.505971067241617</v>
      </c>
      <c r="P34">
        <f t="shared" si="4"/>
        <v>10255.640299963088</v>
      </c>
      <c r="R34" s="41" t="s">
        <v>111</v>
      </c>
      <c r="S34">
        <v>0.34</v>
      </c>
      <c r="T34" s="45">
        <f t="shared" si="5"/>
        <v>64.17</v>
      </c>
      <c r="U34">
        <f t="shared" si="22"/>
        <v>30</v>
      </c>
      <c r="V34">
        <f t="shared" si="6"/>
        <v>2189.3791232107005</v>
      </c>
      <c r="W34">
        <f t="shared" si="29"/>
        <v>41.505971067241617</v>
      </c>
      <c r="X34">
        <f t="shared" si="7"/>
        <v>43164.345608022923</v>
      </c>
      <c r="Z34" s="40" t="s">
        <v>31</v>
      </c>
      <c r="AA34">
        <v>0.67500000000000004</v>
      </c>
      <c r="AB34" s="45">
        <f t="shared" si="30"/>
        <v>26.507409170059191</v>
      </c>
      <c r="AC34">
        <f t="shared" si="33"/>
        <v>15</v>
      </c>
      <c r="AD34">
        <f t="shared" si="8"/>
        <v>386.98448149573386</v>
      </c>
      <c r="AE34">
        <f t="shared" si="31"/>
        <v>41.505971067241617</v>
      </c>
      <c r="AF34">
        <f t="shared" si="24"/>
        <v>7629.5291789058783</v>
      </c>
      <c r="AH34" s="41" t="s">
        <v>122</v>
      </c>
      <c r="AI34">
        <v>0.49</v>
      </c>
      <c r="AJ34" s="45">
        <f t="shared" si="9"/>
        <v>27.900000000000002</v>
      </c>
      <c r="AK34">
        <f t="shared" si="25"/>
        <v>17.929498045025785</v>
      </c>
      <c r="AL34">
        <f t="shared" si="10"/>
        <v>372.34741161590995</v>
      </c>
      <c r="AM34">
        <f t="shared" si="32"/>
        <v>41.505971067241617</v>
      </c>
      <c r="AN34">
        <f t="shared" si="11"/>
        <v>7340.9544244088247</v>
      </c>
      <c r="AQ34">
        <f>AQ33+Calculations!$C$24</f>
        <v>6.2246799999999967</v>
      </c>
      <c r="AR34">
        <f t="shared" si="12"/>
        <v>22.844575599999988</v>
      </c>
      <c r="AS34">
        <f t="shared" si="13"/>
        <v>255.81183111603809</v>
      </c>
      <c r="AT34">
        <f t="shared" si="26"/>
        <v>84.417904268292574</v>
      </c>
      <c r="AU34">
        <f t="shared" si="14"/>
        <v>340.22973538433064</v>
      </c>
      <c r="AV34">
        <f t="shared" si="15"/>
        <v>363.07431098433062</v>
      </c>
      <c r="BA34">
        <f t="shared" si="16"/>
        <v>207.52985533620807</v>
      </c>
      <c r="BB34" s="30">
        <f t="shared" si="17"/>
        <v>31.527481834011844</v>
      </c>
      <c r="BC34" s="30">
        <f t="shared" si="18"/>
        <v>31.527481834011848</v>
      </c>
    </row>
    <row r="35" spans="1:55">
      <c r="R35" s="50"/>
      <c r="AJ35" s="2"/>
    </row>
    <row r="36" spans="1:55">
      <c r="R36" s="50"/>
    </row>
    <row r="37" spans="1:55">
      <c r="R37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426CC-65E1-2246-9940-F9158690498D}">
  <dimension ref="A2:BD37"/>
  <sheetViews>
    <sheetView topLeftCell="AM1" workbookViewId="0">
      <selection activeCell="AY13" sqref="AY13"/>
    </sheetView>
  </sheetViews>
  <sheetFormatPr baseColWidth="10" defaultRowHeight="16"/>
  <sheetData>
    <row r="2" spans="1:56">
      <c r="B2" s="44" t="s">
        <v>84</v>
      </c>
      <c r="C2">
        <v>0.1595973</v>
      </c>
      <c r="E2" t="s">
        <v>101</v>
      </c>
      <c r="F2">
        <v>0.47499999999999998</v>
      </c>
      <c r="H2" s="45" t="s">
        <v>102</v>
      </c>
      <c r="I2" s="46" t="s">
        <v>85</v>
      </c>
      <c r="K2" s="47"/>
    </row>
    <row r="3" spans="1:56" ht="80">
      <c r="A3" s="42" t="s">
        <v>1</v>
      </c>
      <c r="B3" s="42" t="s">
        <v>2</v>
      </c>
      <c r="C3" s="42" t="s">
        <v>6</v>
      </c>
      <c r="D3" s="42" t="s">
        <v>4</v>
      </c>
      <c r="E3" s="42" t="s">
        <v>5</v>
      </c>
      <c r="F3" s="42" t="s">
        <v>24</v>
      </c>
      <c r="G3" s="42" t="s">
        <v>7</v>
      </c>
      <c r="H3" s="42" t="s">
        <v>8</v>
      </c>
      <c r="I3" s="42"/>
      <c r="J3" s="42" t="s">
        <v>2</v>
      </c>
      <c r="K3" s="42" t="s">
        <v>6</v>
      </c>
      <c r="L3" s="42" t="s">
        <v>4</v>
      </c>
      <c r="M3" s="42" t="s">
        <v>5</v>
      </c>
      <c r="N3" s="42" t="s">
        <v>3</v>
      </c>
      <c r="O3" s="42" t="s">
        <v>7</v>
      </c>
      <c r="P3" s="42" t="s">
        <v>8</v>
      </c>
      <c r="Q3" s="42"/>
      <c r="R3" s="42" t="s">
        <v>2</v>
      </c>
      <c r="S3" s="42" t="s">
        <v>6</v>
      </c>
      <c r="T3" s="42" t="s">
        <v>4</v>
      </c>
      <c r="U3" s="42" t="s">
        <v>5</v>
      </c>
      <c r="V3" s="42" t="s">
        <v>3</v>
      </c>
      <c r="W3" s="42" t="s">
        <v>7</v>
      </c>
      <c r="X3" s="42" t="s">
        <v>8</v>
      </c>
      <c r="Y3" s="42"/>
      <c r="Z3" s="42" t="s">
        <v>2</v>
      </c>
      <c r="AA3" s="42" t="s">
        <v>6</v>
      </c>
      <c r="AB3" s="42" t="s">
        <v>4</v>
      </c>
      <c r="AC3" s="42" t="s">
        <v>5</v>
      </c>
      <c r="AD3" s="42" t="s">
        <v>3</v>
      </c>
      <c r="AE3" s="42" t="s">
        <v>7</v>
      </c>
      <c r="AF3" s="42" t="s">
        <v>8</v>
      </c>
      <c r="AG3" s="42"/>
      <c r="AH3" s="42" t="s">
        <v>2</v>
      </c>
      <c r="AI3" s="42" t="s">
        <v>6</v>
      </c>
      <c r="AJ3" s="42" t="s">
        <v>4</v>
      </c>
      <c r="AK3" s="42" t="s">
        <v>5</v>
      </c>
      <c r="AL3" s="42" t="s">
        <v>3</v>
      </c>
      <c r="AM3" s="42" t="s">
        <v>7</v>
      </c>
      <c r="AN3" s="42" t="s">
        <v>8</v>
      </c>
      <c r="AO3" s="42"/>
      <c r="AP3" s="42"/>
      <c r="AQ3" s="42" t="s">
        <v>13</v>
      </c>
      <c r="AR3" s="42" t="s">
        <v>14</v>
      </c>
      <c r="AS3" s="42" t="s">
        <v>10</v>
      </c>
      <c r="AT3" s="42" t="s">
        <v>11</v>
      </c>
      <c r="AU3" s="42" t="s">
        <v>12</v>
      </c>
      <c r="AV3" s="42" t="s">
        <v>15</v>
      </c>
      <c r="AW3" s="42"/>
      <c r="AX3" s="42" t="s">
        <v>126</v>
      </c>
      <c r="AY3" s="42"/>
      <c r="AZ3" s="42" t="s">
        <v>16</v>
      </c>
      <c r="BA3" s="42" t="s">
        <v>93</v>
      </c>
      <c r="BB3" s="42" t="s">
        <v>70</v>
      </c>
      <c r="BC3" s="42" t="s">
        <v>92</v>
      </c>
      <c r="BD3" s="42"/>
    </row>
    <row r="4" spans="1:56">
      <c r="A4" s="39">
        <v>0</v>
      </c>
      <c r="B4" s="41" t="s">
        <v>106</v>
      </c>
      <c r="C4">
        <v>0.88100000000000001</v>
      </c>
      <c r="D4" s="45">
        <f>A4*0.7*0.93</f>
        <v>0</v>
      </c>
      <c r="E4">
        <v>0</v>
      </c>
      <c r="F4">
        <f>0.0673*(C4*D4^2*E4)^0.976</f>
        <v>0</v>
      </c>
      <c r="G4">
        <v>80</v>
      </c>
      <c r="H4">
        <f>F4*G4*$F$2</f>
        <v>0</v>
      </c>
      <c r="J4" s="40" t="s">
        <v>9</v>
      </c>
      <c r="K4">
        <v>0.82499999999999996</v>
      </c>
      <c r="L4" s="45">
        <f>A4*1*0.93</f>
        <v>0</v>
      </c>
      <c r="M4">
        <f>IF(50.453*(1-EXP(-0.047*L4^(0.812)))&gt;10, 10, 50.453*(1-EXP(-0.047*L4^(0.812))))</f>
        <v>0</v>
      </c>
      <c r="N4">
        <f>0.0673*(K4*L4^2*M4)^0.976</f>
        <v>0</v>
      </c>
      <c r="O4">
        <v>80</v>
      </c>
      <c r="P4">
        <f>N4*O4*$F$2</f>
        <v>0</v>
      </c>
      <c r="R4" s="41" t="s">
        <v>111</v>
      </c>
      <c r="S4">
        <v>0.34</v>
      </c>
      <c r="T4" s="45">
        <f>A4*2.3*0.93</f>
        <v>0</v>
      </c>
      <c r="U4">
        <f>IF(50.453*(1-EXP(-0.047*T4^(0.812)))&gt;35, 35, 50.453*(1-EXP(-0.047*T4^(0.812))))</f>
        <v>0</v>
      </c>
      <c r="V4">
        <f>0.0673*(S4*T4^2*U4)^0.976</f>
        <v>0</v>
      </c>
      <c r="W4">
        <v>80</v>
      </c>
      <c r="X4">
        <f>V4*W4*$F$2</f>
        <v>0</v>
      </c>
      <c r="Z4" s="40" t="s">
        <v>31</v>
      </c>
      <c r="AA4">
        <v>0.67500000000000004</v>
      </c>
      <c r="AB4" s="45">
        <v>0</v>
      </c>
      <c r="AC4">
        <v>0</v>
      </c>
      <c r="AD4">
        <f>0.0673*(AA4*AB4^2*AC4)^0.976</f>
        <v>0</v>
      </c>
      <c r="AE4">
        <v>80</v>
      </c>
      <c r="AF4">
        <f>AD4*AE4*$F$2</f>
        <v>0</v>
      </c>
      <c r="AH4" s="41" t="s">
        <v>122</v>
      </c>
      <c r="AI4">
        <v>0.49</v>
      </c>
      <c r="AJ4" s="45">
        <f>$A4*1*0.93</f>
        <v>0</v>
      </c>
      <c r="AK4">
        <f>IF(50.453*(1-EXP(-0.047*AJ4^(0.812)))&gt;25, 25, 50.453*(1-EXP(-0.047*AJ4^(0.812))))</f>
        <v>0</v>
      </c>
      <c r="AL4">
        <f>0.0673*(AI4*AJ4^2*AK4)^0.976</f>
        <v>0</v>
      </c>
      <c r="AM4">
        <v>80</v>
      </c>
      <c r="AN4">
        <f>AL4*AM4*$F$2</f>
        <v>0</v>
      </c>
      <c r="AQ4">
        <v>0</v>
      </c>
      <c r="AR4">
        <f>AQ4*3.67</f>
        <v>0</v>
      </c>
      <c r="AS4">
        <f>SUM(H4,P4,X4,AF4,AN4)*3.67/1000</f>
        <v>0</v>
      </c>
      <c r="AT4">
        <f>AS4*0.235</f>
        <v>0</v>
      </c>
      <c r="AU4">
        <f>AS4+AT4</f>
        <v>0</v>
      </c>
      <c r="AV4">
        <f>AU4+AR4</f>
        <v>0</v>
      </c>
      <c r="AX4">
        <v>438.15</v>
      </c>
      <c r="AZ4">
        <f>SUM(AM34,AE34,W34,O34,G34)</f>
        <v>207.52985533620807</v>
      </c>
      <c r="BA4">
        <f>SUM(G4,O4,W4,AE4,AM4)</f>
        <v>400</v>
      </c>
      <c r="BB4">
        <f>AVERAGE(D4,L4,T4,AB4,AJ4)</f>
        <v>0</v>
      </c>
      <c r="BC4">
        <f>SUM(D4*G4,L4*O4,T4*W4,AB4*AE4,AJ4*AM4)/BA4</f>
        <v>0</v>
      </c>
    </row>
    <row r="5" spans="1:56">
      <c r="A5" s="39">
        <v>1</v>
      </c>
      <c r="B5" s="41" t="s">
        <v>106</v>
      </c>
      <c r="C5">
        <v>0.88100000000000001</v>
      </c>
      <c r="D5" s="45">
        <f>A5*0.4*0.93</f>
        <v>0.37200000000000005</v>
      </c>
      <c r="E5">
        <f>IF(EXP(0.893-$C$2+0.76*LN(D5)-0.034*(LN(D5))^2)&gt;22.5, 22.5, EXP(0.893-$C$2+0.76*LN(D5)-0.034*(LN(D5))^2))</f>
        <v>0.9499187940711552</v>
      </c>
      <c r="F5">
        <f t="shared" ref="F5:F34" si="0">0.0673*(C5*D5^2*E5)^0.976</f>
        <v>8.2079249014313151E-3</v>
      </c>
      <c r="G5">
        <f>G4*0.6</f>
        <v>48</v>
      </c>
      <c r="H5">
        <f t="shared" ref="H5:H34" si="1">F5*G5*$F$2</f>
        <v>0.18714068775263396</v>
      </c>
      <c r="J5" s="40" t="s">
        <v>9</v>
      </c>
      <c r="K5">
        <v>0.82499999999999996</v>
      </c>
      <c r="L5" s="45">
        <f t="shared" ref="L5:L34" si="2">A5*1*0.93</f>
        <v>0.93</v>
      </c>
      <c r="M5">
        <f>IF(EXP(0.893-$C$2+0.76*LN(L5)-0.034*(LN(L5))^2)&gt;15, 15, EXP(0.893-$C$2+0.76*LN(L5)-0.034*(LN(L5))^2))</f>
        <v>1.9700716492376908</v>
      </c>
      <c r="N5">
        <f t="shared" ref="N5:N34" si="3">0.0673*(K5*L5^2*M5)^0.976</f>
        <v>9.3835524598760489E-2</v>
      </c>
      <c r="O5">
        <f>O4*0.6</f>
        <v>48</v>
      </c>
      <c r="P5">
        <f t="shared" ref="P5:P34" si="4">N5*O5*$F$2</f>
        <v>2.139449960851739</v>
      </c>
      <c r="R5" s="41" t="s">
        <v>111</v>
      </c>
      <c r="S5">
        <v>0.34</v>
      </c>
      <c r="T5" s="45">
        <f t="shared" ref="T5:T34" si="5">A5*2.3*0.93</f>
        <v>2.1389999999999998</v>
      </c>
      <c r="U5">
        <f>IF(50.453*(1-EXP(-0.047*T5^(0.812)))&gt;30, 30, 50.453*(1-EXP(-0.047*T5^(0.812))))</f>
        <v>4.2104712430511748</v>
      </c>
      <c r="V5">
        <f t="shared" ref="V5:V34" si="6">0.0673*(S5*T5^2*U5)^0.976</f>
        <v>0.42136330067889016</v>
      </c>
      <c r="W5">
        <f>W4*0.6</f>
        <v>48</v>
      </c>
      <c r="X5">
        <f t="shared" ref="X5:X34" si="7">V5*W5*$F$2</f>
        <v>9.6070832554786953</v>
      </c>
      <c r="Z5" s="40" t="s">
        <v>31</v>
      </c>
      <c r="AA5">
        <v>0.67500000000000004</v>
      </c>
      <c r="AB5" s="45">
        <f>AB6/2</f>
        <v>0.22305446636195617</v>
      </c>
      <c r="AC5">
        <f>IF(EXP(0.893-$C$2+0.76*LN(AB5)-0.034*(LN(AB5))^2)&gt;37.5, 37.5, EXP(0.893-$C$2+0.76*LN(AB5)-0.034*(LN(AB5))^2))</f>
        <v>0.61668940642705572</v>
      </c>
      <c r="AD5">
        <f t="shared" ref="AD5:AD34" si="8">0.0673*(AA5*AB5^2*AC5)^0.976</f>
        <v>1.5297433086999728E-3</v>
      </c>
      <c r="AE5">
        <f>AE4*0.6</f>
        <v>48</v>
      </c>
      <c r="AF5">
        <f>AD5*AE5*$F$2</f>
        <v>3.4878147438359375E-2</v>
      </c>
      <c r="AH5" s="41" t="s">
        <v>122</v>
      </c>
      <c r="AI5">
        <v>0.49</v>
      </c>
      <c r="AJ5" s="45">
        <f t="shared" ref="AJ5:AJ34" si="9">$A5*1*0.93</f>
        <v>0.93</v>
      </c>
      <c r="AK5">
        <f>IF(EXP(0.893-$C$2+0.76*LN(AJ5)-0.034*(LN(AJ5))^2)&gt;20, 20, EXP(0.893-$C$2+0.76*LN(AJ5)-0.034*(LN(AJ5))^2))</f>
        <v>1.9700716492376908</v>
      </c>
      <c r="AL5">
        <f t="shared" ref="AL5:AL34" si="10">0.0673*(AI5*AJ5^2*AK5)^0.976</f>
        <v>5.6433840533773483E-2</v>
      </c>
      <c r="AM5">
        <f>AM4*0.6</f>
        <v>48</v>
      </c>
      <c r="AN5">
        <f t="shared" ref="AN5:AN34" si="11">AL5*AM5*$F$2</f>
        <v>1.2866915641700354</v>
      </c>
      <c r="AQ5">
        <f>AQ4+0.8</f>
        <v>0.8</v>
      </c>
      <c r="AR5">
        <f t="shared" ref="AR5:AR34" si="12">AQ5*3.67</f>
        <v>2.9359999999999999</v>
      </c>
      <c r="AS5">
        <f t="shared" ref="AS5:AS34" si="13">SUM(H5,P5,X5,AF5,AN5)*3.67/1000</f>
        <v>4.8646744069587668E-2</v>
      </c>
      <c r="AT5">
        <f t="shared" ref="AT5:AT33" si="14">AS5*0.235</f>
        <v>1.14319848563531E-2</v>
      </c>
      <c r="AU5">
        <f t="shared" ref="AU5:AU34" si="15">AS5+AT5</f>
        <v>6.0078728925940766E-2</v>
      </c>
      <c r="AV5">
        <f t="shared" ref="AV5:AV34" si="16">AU5+AR5</f>
        <v>2.9960787289259407</v>
      </c>
      <c r="BA5">
        <f t="shared" ref="BA5:BA34" si="17">SUM(G5,O5,W5,AE5,AM5)</f>
        <v>240</v>
      </c>
      <c r="BB5">
        <f t="shared" ref="BB5:BB34" si="18">AVERAGE(D5,L5,T5,AB5,AJ5)</f>
        <v>0.91881089327239118</v>
      </c>
      <c r="BC5">
        <f t="shared" ref="BC5:BC34" si="19">SUM(D5*G5,L5*O5,T5*W5,AB5*AE5,AJ5*AM5)/BA5</f>
        <v>0.91881089327239118</v>
      </c>
    </row>
    <row r="6" spans="1:56" ht="19">
      <c r="A6" s="39">
        <v>2</v>
      </c>
      <c r="B6" s="41" t="s">
        <v>106</v>
      </c>
      <c r="C6">
        <v>0.88100000000000001</v>
      </c>
      <c r="D6" s="45">
        <f t="shared" ref="D6:D34" si="20">A6*0.4*0.93</f>
        <v>0.74400000000000011</v>
      </c>
      <c r="E6">
        <f t="shared" ref="E6:E34" si="21">IF(EXP(0.893-$C$2+0.76*LN(D6)-0.034*(LN(D6))^2)&gt;22.5, 22.5, EXP(0.893-$C$2+0.76*LN(D6)-0.034*(LN(D6))^2))</f>
        <v>1.6581237289719131</v>
      </c>
      <c r="F6">
        <f t="shared" si="0"/>
        <v>5.4697572048358387E-2</v>
      </c>
      <c r="G6">
        <f>G5*0.995</f>
        <v>47.76</v>
      </c>
      <c r="H6">
        <f t="shared" si="1"/>
        <v>1.2408691194890582</v>
      </c>
      <c r="J6" s="40" t="s">
        <v>9</v>
      </c>
      <c r="K6">
        <v>0.82499999999999996</v>
      </c>
      <c r="L6" s="45">
        <f t="shared" si="2"/>
        <v>1.86</v>
      </c>
      <c r="M6">
        <f t="shared" ref="M6:M34" si="22">IF(EXP(0.893-$C$2+0.76*LN(L6)-0.034*(LN(L6))^2)&gt;15, 15, EXP(0.893-$C$2+0.76*LN(L6)-0.034*(LN(L6))^2))</f>
        <v>3.2934871077857624</v>
      </c>
      <c r="N6">
        <f t="shared" si="3"/>
        <v>0.59950886528937841</v>
      </c>
      <c r="O6">
        <f>O5*0.995</f>
        <v>47.76</v>
      </c>
      <c r="P6">
        <f t="shared" si="4"/>
        <v>13.600458117954838</v>
      </c>
      <c r="R6" s="41" t="s">
        <v>111</v>
      </c>
      <c r="S6">
        <v>0.34</v>
      </c>
      <c r="T6" s="45">
        <f t="shared" si="5"/>
        <v>4.2779999999999996</v>
      </c>
      <c r="U6">
        <f t="shared" ref="U6:U34" si="23">IF(50.453*(1-EXP(-0.047*T6^(0.812)))&gt;30, 30, 50.453*(1-EXP(-0.047*T6^(0.812))))</f>
        <v>7.1573836800950836</v>
      </c>
      <c r="V6">
        <f t="shared" si="6"/>
        <v>2.7362809432139472</v>
      </c>
      <c r="W6">
        <f>W5*0.995</f>
        <v>47.76</v>
      </c>
      <c r="X6">
        <f t="shared" si="7"/>
        <v>62.075269477751604</v>
      </c>
      <c r="Z6" s="40" t="s">
        <v>31</v>
      </c>
      <c r="AA6">
        <v>0.67500000000000004</v>
      </c>
      <c r="AB6" s="45">
        <f>(10.348*LN(A6)-6.693)*0.93</f>
        <v>0.44610893272391233</v>
      </c>
      <c r="AC6">
        <f t="shared" ref="AC6:AC9" si="24">IF(EXP(0.893-$C$2+0.76*LN(AB6)-0.034*(LN(AB6))^2)&gt;37.5, 37.5, EXP(0.893-$C$2+0.76*LN(AB6)-0.034*(LN(AB6))^2))</f>
        <v>1.1027242229265279</v>
      </c>
      <c r="AD6">
        <f t="shared" si="8"/>
        <v>1.0436909796128178E-2</v>
      </c>
      <c r="AE6">
        <f>AE5*0.995</f>
        <v>47.76</v>
      </c>
      <c r="AF6">
        <f t="shared" ref="AF6:AF34" si="25">AD6*AE6*$F$2</f>
        <v>0.23677173563496384</v>
      </c>
      <c r="AH6" s="41" t="s">
        <v>122</v>
      </c>
      <c r="AI6">
        <v>0.49</v>
      </c>
      <c r="AJ6" s="45">
        <f t="shared" si="9"/>
        <v>1.86</v>
      </c>
      <c r="AK6">
        <f t="shared" ref="AK6:AK34" si="26">IF(EXP(0.893-$C$2+0.76*LN(AJ6)-0.034*(LN(AJ6))^2)&gt;20, 20, EXP(0.893-$C$2+0.76*LN(AJ6)-0.034*(LN(AJ6))^2))</f>
        <v>3.2934871077857624</v>
      </c>
      <c r="AL6">
        <f t="shared" si="10"/>
        <v>0.3605520174474644</v>
      </c>
      <c r="AM6">
        <f>AM5*0.995</f>
        <v>47.76</v>
      </c>
      <c r="AN6">
        <f t="shared" si="11"/>
        <v>8.1794830678131767</v>
      </c>
      <c r="AQ6">
        <f t="shared" ref="AQ6:AQ34" si="27">AQ5+0.8</f>
        <v>1.6</v>
      </c>
      <c r="AR6">
        <f t="shared" si="12"/>
        <v>5.8719999999999999</v>
      </c>
      <c r="AS6">
        <f t="shared" si="13"/>
        <v>0.31317156507342214</v>
      </c>
      <c r="AT6">
        <f t="shared" si="14"/>
        <v>7.35953177922542E-2</v>
      </c>
      <c r="AU6">
        <f t="shared" si="15"/>
        <v>0.38676688286567634</v>
      </c>
      <c r="AV6">
        <f t="shared" si="16"/>
        <v>6.2587668828656762</v>
      </c>
      <c r="AX6" s="38" t="s">
        <v>17</v>
      </c>
      <c r="BA6">
        <f t="shared" si="17"/>
        <v>238.79999999999998</v>
      </c>
      <c r="BB6">
        <f t="shared" si="18"/>
        <v>1.8376217865447824</v>
      </c>
      <c r="BC6">
        <f t="shared" si="19"/>
        <v>1.8376217865447824</v>
      </c>
    </row>
    <row r="7" spans="1:56">
      <c r="A7" s="39">
        <v>3</v>
      </c>
      <c r="B7" s="41" t="s">
        <v>106</v>
      </c>
      <c r="C7">
        <v>0.88100000000000001</v>
      </c>
      <c r="D7" s="45">
        <f t="shared" si="20"/>
        <v>1.1160000000000003</v>
      </c>
      <c r="E7">
        <f t="shared" si="21"/>
        <v>2.2623493710319655</v>
      </c>
      <c r="F7">
        <f t="shared" si="0"/>
        <v>0.1634565392682753</v>
      </c>
      <c r="G7">
        <f t="shared" ref="G7:G34" si="28">G6*0.995</f>
        <v>47.5212</v>
      </c>
      <c r="H7">
        <f t="shared" si="1"/>
        <v>3.6896341745908927</v>
      </c>
      <c r="J7" s="40" t="s">
        <v>9</v>
      </c>
      <c r="K7">
        <v>0.82499999999999996</v>
      </c>
      <c r="L7" s="45">
        <f t="shared" si="2"/>
        <v>2.79</v>
      </c>
      <c r="M7">
        <f t="shared" si="22"/>
        <v>4.3815407271194626</v>
      </c>
      <c r="N7">
        <f t="shared" si="3"/>
        <v>1.7479191127398115</v>
      </c>
      <c r="O7">
        <f t="shared" ref="O7:O34" si="29">O6*0.995</f>
        <v>47.5212</v>
      </c>
      <c r="P7">
        <f t="shared" si="4"/>
        <v>39.455026526657285</v>
      </c>
      <c r="R7" s="41" t="s">
        <v>111</v>
      </c>
      <c r="S7">
        <v>0.34</v>
      </c>
      <c r="T7" s="45">
        <f t="shared" si="5"/>
        <v>6.4169999999999998</v>
      </c>
      <c r="U7">
        <f t="shared" si="23"/>
        <v>9.6645471786157255</v>
      </c>
      <c r="V7">
        <f t="shared" si="6"/>
        <v>8.0944581528538482</v>
      </c>
      <c r="W7">
        <f t="shared" ref="W7:W34" si="30">W6*0.995</f>
        <v>47.5212</v>
      </c>
      <c r="X7">
        <f t="shared" si="7"/>
        <v>182.7127232673642</v>
      </c>
      <c r="Z7" s="40" t="s">
        <v>31</v>
      </c>
      <c r="AA7">
        <v>0.67500000000000004</v>
      </c>
      <c r="AB7" s="45">
        <f t="shared" ref="AB7:AB34" si="31">(10.348*LN(A7)-6.693)*0.93</f>
        <v>4.348159165717969</v>
      </c>
      <c r="AC7">
        <f t="shared" si="24"/>
        <v>5.9119089797493611</v>
      </c>
      <c r="AD7">
        <f t="shared" si="8"/>
        <v>4.5771381984028379</v>
      </c>
      <c r="AE7">
        <f t="shared" ref="AE7:AE34" si="32">AE6*0.995</f>
        <v>47.5212</v>
      </c>
      <c r="AF7">
        <f t="shared" si="25"/>
        <v>103.31777238312195</v>
      </c>
      <c r="AH7" s="41" t="s">
        <v>122</v>
      </c>
      <c r="AI7">
        <v>0.49</v>
      </c>
      <c r="AJ7" s="45">
        <f t="shared" si="9"/>
        <v>2.79</v>
      </c>
      <c r="AK7">
        <f t="shared" si="26"/>
        <v>4.3815407271194626</v>
      </c>
      <c r="AL7">
        <f t="shared" si="10"/>
        <v>1.0512200885121536</v>
      </c>
      <c r="AM7">
        <f t="shared" ref="AM7:AM34" si="33">AM6*0.995</f>
        <v>47.5212</v>
      </c>
      <c r="AN7">
        <f t="shared" si="11"/>
        <v>23.728739033346784</v>
      </c>
      <c r="AQ7">
        <f t="shared" si="27"/>
        <v>2.4000000000000004</v>
      </c>
      <c r="AR7">
        <f t="shared" si="12"/>
        <v>8.8080000000000016</v>
      </c>
      <c r="AS7">
        <f t="shared" si="13"/>
        <v>1.2951572960632478</v>
      </c>
      <c r="AT7">
        <f t="shared" si="14"/>
        <v>0.3043619645748632</v>
      </c>
      <c r="AU7">
        <f t="shared" si="15"/>
        <v>1.599519260638111</v>
      </c>
      <c r="AV7">
        <f t="shared" si="16"/>
        <v>10.407519260638113</v>
      </c>
      <c r="AX7">
        <f>AV34*AX4</f>
        <v>177015.93494731275</v>
      </c>
      <c r="BA7">
        <f t="shared" si="17"/>
        <v>237.60599999999999</v>
      </c>
      <c r="BB7">
        <f t="shared" si="18"/>
        <v>3.492231833143594</v>
      </c>
      <c r="BC7">
        <f t="shared" si="19"/>
        <v>3.4922318331435944</v>
      </c>
    </row>
    <row r="8" spans="1:56">
      <c r="A8" s="39">
        <v>4</v>
      </c>
      <c r="B8" s="41" t="s">
        <v>106</v>
      </c>
      <c r="C8">
        <v>0.88100000000000001</v>
      </c>
      <c r="D8" s="45">
        <f t="shared" si="20"/>
        <v>1.4880000000000002</v>
      </c>
      <c r="E8">
        <f t="shared" si="21"/>
        <v>2.8012936595447586</v>
      </c>
      <c r="F8">
        <f t="shared" si="0"/>
        <v>0.35306486688690963</v>
      </c>
      <c r="G8">
        <f t="shared" si="28"/>
        <v>47.283594000000001</v>
      </c>
      <c r="H8">
        <f t="shared" si="1"/>
        <v>7.9297335152337221</v>
      </c>
      <c r="J8" s="40" t="s">
        <v>9</v>
      </c>
      <c r="K8">
        <v>0.82499999999999996</v>
      </c>
      <c r="L8" s="45">
        <f t="shared" si="2"/>
        <v>3.72</v>
      </c>
      <c r="M8">
        <f t="shared" si="22"/>
        <v>5.3289440925668474</v>
      </c>
      <c r="N8">
        <f t="shared" si="3"/>
        <v>3.71001540291069</v>
      </c>
      <c r="O8">
        <f t="shared" si="29"/>
        <v>47.283594000000001</v>
      </c>
      <c r="P8">
        <f t="shared" si="4"/>
        <v>83.325859471363358</v>
      </c>
      <c r="R8" s="41" t="s">
        <v>111</v>
      </c>
      <c r="S8">
        <v>0.34</v>
      </c>
      <c r="T8" s="45">
        <f t="shared" si="5"/>
        <v>8.5559999999999992</v>
      </c>
      <c r="U8">
        <f t="shared" si="23"/>
        <v>11.884153807682253</v>
      </c>
      <c r="V8">
        <f t="shared" si="6"/>
        <v>17.366010824716177</v>
      </c>
      <c r="W8">
        <f t="shared" si="30"/>
        <v>47.283594000000001</v>
      </c>
      <c r="X8">
        <f t="shared" si="7"/>
        <v>390.03551748685533</v>
      </c>
      <c r="Z8" s="40" t="s">
        <v>31</v>
      </c>
      <c r="AA8">
        <v>0.67500000000000004</v>
      </c>
      <c r="AB8" s="45">
        <f t="shared" si="31"/>
        <v>7.1167078654478244</v>
      </c>
      <c r="AC8">
        <f t="shared" si="24"/>
        <v>8.1166749187898439</v>
      </c>
      <c r="AD8">
        <f t="shared" si="8"/>
        <v>16.316142969166702</v>
      </c>
      <c r="AE8">
        <f t="shared" si="32"/>
        <v>47.283594000000001</v>
      </c>
      <c r="AF8">
        <f t="shared" si="25"/>
        <v>366.45579290501558</v>
      </c>
      <c r="AH8" s="41" t="s">
        <v>122</v>
      </c>
      <c r="AI8">
        <v>0.49</v>
      </c>
      <c r="AJ8" s="45">
        <f t="shared" si="9"/>
        <v>3.72</v>
      </c>
      <c r="AK8">
        <f t="shared" si="26"/>
        <v>5.3289440925668474</v>
      </c>
      <c r="AL8">
        <f t="shared" si="10"/>
        <v>2.2312489701631715</v>
      </c>
      <c r="AM8">
        <f t="shared" si="33"/>
        <v>47.283594000000001</v>
      </c>
      <c r="AN8">
        <f t="shared" si="11"/>
        <v>50.113198448603917</v>
      </c>
      <c r="AQ8">
        <f t="shared" si="27"/>
        <v>3.2</v>
      </c>
      <c r="AR8">
        <f t="shared" si="12"/>
        <v>11.744</v>
      </c>
      <c r="AS8">
        <f t="shared" si="13"/>
        <v>3.2951465737053542</v>
      </c>
      <c r="AT8">
        <f t="shared" si="14"/>
        <v>0.77435944482075825</v>
      </c>
      <c r="AU8">
        <f t="shared" si="15"/>
        <v>4.0695060185261127</v>
      </c>
      <c r="AV8">
        <f t="shared" si="16"/>
        <v>15.813506018526112</v>
      </c>
      <c r="BA8">
        <f t="shared" si="17"/>
        <v>236.41797</v>
      </c>
      <c r="BB8">
        <f t="shared" si="18"/>
        <v>4.9201415730895643</v>
      </c>
      <c r="BC8">
        <f t="shared" si="19"/>
        <v>4.9201415730895652</v>
      </c>
    </row>
    <row r="9" spans="1:56" ht="19">
      <c r="A9" s="39">
        <v>5</v>
      </c>
      <c r="B9" s="41" t="s">
        <v>106</v>
      </c>
      <c r="C9">
        <v>0.88100000000000001</v>
      </c>
      <c r="D9" s="45">
        <f t="shared" si="20"/>
        <v>1.86</v>
      </c>
      <c r="E9">
        <f t="shared" si="21"/>
        <v>3.2934871077857624</v>
      </c>
      <c r="F9">
        <f t="shared" si="0"/>
        <v>0.63919451924317272</v>
      </c>
      <c r="G9">
        <f t="shared" si="28"/>
        <v>47.047176030000003</v>
      </c>
      <c r="H9">
        <f t="shared" si="1"/>
        <v>14.284341105516265</v>
      </c>
      <c r="J9" s="40" t="s">
        <v>9</v>
      </c>
      <c r="K9">
        <v>0.82499999999999996</v>
      </c>
      <c r="L9" s="45">
        <f t="shared" si="2"/>
        <v>4.6500000000000004</v>
      </c>
      <c r="M9">
        <f t="shared" si="22"/>
        <v>6.1787446389068963</v>
      </c>
      <c r="N9">
        <f t="shared" si="3"/>
        <v>6.6261448086095758</v>
      </c>
      <c r="O9">
        <f t="shared" si="29"/>
        <v>47.047176030000003</v>
      </c>
      <c r="P9">
        <f t="shared" si="4"/>
        <v>148.07716557518955</v>
      </c>
      <c r="R9" s="41" t="s">
        <v>111</v>
      </c>
      <c r="S9">
        <v>0.34</v>
      </c>
      <c r="T9" s="45">
        <f t="shared" si="5"/>
        <v>10.695</v>
      </c>
      <c r="U9">
        <f t="shared" si="23"/>
        <v>13.888088633273965</v>
      </c>
      <c r="V9">
        <f t="shared" si="6"/>
        <v>31.254923999090892</v>
      </c>
      <c r="W9">
        <f t="shared" si="30"/>
        <v>47.047176030000003</v>
      </c>
      <c r="X9">
        <f t="shared" si="7"/>
        <v>698.46655781501283</v>
      </c>
      <c r="Z9" s="40" t="s">
        <v>31</v>
      </c>
      <c r="AA9">
        <v>0.67500000000000004</v>
      </c>
      <c r="AB9" s="45">
        <f t="shared" si="31"/>
        <v>9.2641610716173055</v>
      </c>
      <c r="AC9">
        <f t="shared" si="24"/>
        <v>9.5523139450916581</v>
      </c>
      <c r="AD9">
        <f t="shared" si="8"/>
        <v>32.004203989489582</v>
      </c>
      <c r="AE9">
        <f t="shared" si="32"/>
        <v>47.047176030000003</v>
      </c>
      <c r="AF9">
        <f t="shared" si="25"/>
        <v>715.21102392693376</v>
      </c>
      <c r="AH9" s="41" t="s">
        <v>122</v>
      </c>
      <c r="AI9">
        <v>0.49</v>
      </c>
      <c r="AJ9" s="45">
        <f t="shared" si="9"/>
        <v>4.6500000000000004</v>
      </c>
      <c r="AK9">
        <f t="shared" si="26"/>
        <v>6.1787446389068963</v>
      </c>
      <c r="AL9">
        <f t="shared" si="10"/>
        <v>3.9850451210426021</v>
      </c>
      <c r="AM9">
        <f t="shared" si="33"/>
        <v>47.047176030000003</v>
      </c>
      <c r="AN9">
        <f t="shared" si="11"/>
        <v>89.055431666162377</v>
      </c>
      <c r="AQ9">
        <f t="shared" si="27"/>
        <v>4</v>
      </c>
      <c r="AR9">
        <f t="shared" si="12"/>
        <v>14.68</v>
      </c>
      <c r="AS9">
        <f t="shared" si="13"/>
        <v>6.11089688872595</v>
      </c>
      <c r="AT9">
        <f t="shared" si="14"/>
        <v>1.4360607688505982</v>
      </c>
      <c r="AU9">
        <f t="shared" si="15"/>
        <v>7.5469576575765487</v>
      </c>
      <c r="AV9">
        <f t="shared" si="16"/>
        <v>22.226957657576548</v>
      </c>
      <c r="AX9" s="38" t="s">
        <v>30</v>
      </c>
      <c r="AY9" s="1" t="s">
        <v>32</v>
      </c>
      <c r="BA9">
        <f t="shared" si="17"/>
        <v>235.23588015000001</v>
      </c>
      <c r="BB9" s="30">
        <f t="shared" si="18"/>
        <v>6.223832214323461</v>
      </c>
      <c r="BC9" s="30">
        <f t="shared" si="19"/>
        <v>6.2238322143234601</v>
      </c>
    </row>
    <row r="10" spans="1:56">
      <c r="A10" s="39">
        <v>6</v>
      </c>
      <c r="B10" s="41" t="s">
        <v>106</v>
      </c>
      <c r="C10">
        <v>0.88100000000000001</v>
      </c>
      <c r="D10" s="45">
        <f t="shared" si="20"/>
        <v>2.2320000000000007</v>
      </c>
      <c r="E10">
        <f t="shared" si="21"/>
        <v>3.7497428888488944</v>
      </c>
      <c r="F10">
        <f t="shared" si="0"/>
        <v>1.0355905163997319</v>
      </c>
      <c r="G10">
        <f t="shared" si="28"/>
        <v>46.811940149850003</v>
      </c>
      <c r="H10">
        <f t="shared" si="1"/>
        <v>23.027050604891841</v>
      </c>
      <c r="J10" s="40" t="s">
        <v>9</v>
      </c>
      <c r="K10">
        <v>0.82499999999999996</v>
      </c>
      <c r="L10" s="45">
        <f t="shared" si="2"/>
        <v>5.58</v>
      </c>
      <c r="M10">
        <f t="shared" si="22"/>
        <v>6.9552406681794228</v>
      </c>
      <c r="N10">
        <f t="shared" si="3"/>
        <v>10.616973776554936</v>
      </c>
      <c r="O10">
        <f t="shared" si="29"/>
        <v>46.811940149850003</v>
      </c>
      <c r="P10">
        <f t="shared" si="4"/>
        <v>236.07554197529288</v>
      </c>
      <c r="R10" s="41" t="s">
        <v>111</v>
      </c>
      <c r="S10">
        <v>0.34</v>
      </c>
      <c r="T10" s="45">
        <f t="shared" si="5"/>
        <v>12.834</v>
      </c>
      <c r="U10">
        <f t="shared" si="23"/>
        <v>15.719085960197528</v>
      </c>
      <c r="V10">
        <f t="shared" si="6"/>
        <v>50.347071397467879</v>
      </c>
      <c r="W10">
        <f t="shared" si="30"/>
        <v>46.811940149850003</v>
      </c>
      <c r="X10">
        <f t="shared" si="7"/>
        <v>1119.5009441647833</v>
      </c>
      <c r="Z10" s="40" t="s">
        <v>31</v>
      </c>
      <c r="AA10">
        <v>0.67500000000000004</v>
      </c>
      <c r="AB10" s="45">
        <f t="shared" si="31"/>
        <v>11.01875809844188</v>
      </c>
      <c r="AC10">
        <f>IF(EXP(0.893-$C$2+0.76*LN(AB10)-0.034*(LN(AB10))^2)&gt;15, 15, EXP(0.893-$C$2+0.76*LN(AB10)-0.034*(LN(AB10))^2))</f>
        <v>10.604977206399607</v>
      </c>
      <c r="AD10">
        <f t="shared" si="8"/>
        <v>49.722846479612748</v>
      </c>
      <c r="AE10">
        <f t="shared" si="32"/>
        <v>46.811940149850003</v>
      </c>
      <c r="AF10">
        <f t="shared" si="25"/>
        <v>1105.6208839048106</v>
      </c>
      <c r="AH10" s="41" t="s">
        <v>122</v>
      </c>
      <c r="AI10">
        <v>0.49</v>
      </c>
      <c r="AJ10" s="45">
        <f t="shared" si="9"/>
        <v>5.58</v>
      </c>
      <c r="AK10">
        <f t="shared" si="26"/>
        <v>6.9552406681794228</v>
      </c>
      <c r="AL10">
        <f t="shared" si="10"/>
        <v>6.3851788288000924</v>
      </c>
      <c r="AM10">
        <f t="shared" si="33"/>
        <v>46.811940149850003</v>
      </c>
      <c r="AN10">
        <f t="shared" si="11"/>
        <v>141.97873936044266</v>
      </c>
      <c r="AQ10">
        <f t="shared" si="27"/>
        <v>4.8</v>
      </c>
      <c r="AR10">
        <f t="shared" si="12"/>
        <v>17.616</v>
      </c>
      <c r="AS10">
        <f t="shared" si="13"/>
        <v>9.6381655972375135</v>
      </c>
      <c r="AT10">
        <f t="shared" si="14"/>
        <v>2.2649689153508157</v>
      </c>
      <c r="AU10">
        <f t="shared" si="15"/>
        <v>11.903134512588329</v>
      </c>
      <c r="AV10">
        <f t="shared" si="16"/>
        <v>29.51913451258833</v>
      </c>
      <c r="AX10">
        <f>AX7*0.2</f>
        <v>35403.186989462549</v>
      </c>
      <c r="AY10">
        <f>AX10/AX4</f>
        <v>80.80152228566142</v>
      </c>
      <c r="BA10">
        <f t="shared" si="17"/>
        <v>234.05970074925</v>
      </c>
      <c r="BB10">
        <f t="shared" si="18"/>
        <v>7.4489516196883754</v>
      </c>
      <c r="BC10">
        <f t="shared" si="19"/>
        <v>7.4489516196883763</v>
      </c>
    </row>
    <row r="11" spans="1:56">
      <c r="A11" s="39">
        <v>7</v>
      </c>
      <c r="B11" s="41" t="s">
        <v>106</v>
      </c>
      <c r="C11">
        <v>0.88100000000000001</v>
      </c>
      <c r="D11" s="45">
        <f t="shared" si="20"/>
        <v>2.6040000000000005</v>
      </c>
      <c r="E11">
        <f t="shared" si="21"/>
        <v>4.1771019539693732</v>
      </c>
      <c r="F11">
        <f t="shared" si="0"/>
        <v>1.5545933920240871</v>
      </c>
      <c r="G11">
        <f t="shared" si="28"/>
        <v>46.577880449100753</v>
      </c>
      <c r="H11">
        <f t="shared" si="1"/>
        <v>34.394590951313475</v>
      </c>
      <c r="J11" s="40" t="s">
        <v>9</v>
      </c>
      <c r="K11">
        <v>0.82499999999999996</v>
      </c>
      <c r="L11" s="45">
        <f t="shared" si="2"/>
        <v>6.5100000000000007</v>
      </c>
      <c r="M11">
        <f t="shared" si="22"/>
        <v>7.6738700839854843</v>
      </c>
      <c r="N11">
        <f t="shared" si="3"/>
        <v>15.78913374538862</v>
      </c>
      <c r="O11">
        <f t="shared" si="29"/>
        <v>46.577880449100753</v>
      </c>
      <c r="P11">
        <f t="shared" si="4"/>
        <v>349.32658239409739</v>
      </c>
      <c r="R11" s="41" t="s">
        <v>111</v>
      </c>
      <c r="S11">
        <v>0.34</v>
      </c>
      <c r="T11" s="45">
        <f t="shared" si="5"/>
        <v>14.972999999999999</v>
      </c>
      <c r="U11">
        <f t="shared" si="23"/>
        <v>17.405802863304309</v>
      </c>
      <c r="V11">
        <f t="shared" si="6"/>
        <v>75.13784167090887</v>
      </c>
      <c r="W11">
        <f t="shared" si="30"/>
        <v>46.577880449100753</v>
      </c>
      <c r="X11">
        <f t="shared" si="7"/>
        <v>1662.3866681117506</v>
      </c>
      <c r="Z11" s="40" t="s">
        <v>31</v>
      </c>
      <c r="AA11">
        <v>0.67500000000000004</v>
      </c>
      <c r="AB11" s="45">
        <f t="shared" si="31"/>
        <v>12.502248746854677</v>
      </c>
      <c r="AC11">
        <f t="shared" ref="AC11:AC34" si="34">IF(EXP(0.893-$C$2+0.76*LN(AB11)-0.034*(LN(AB11))^2)&gt;15, 15, EXP(0.893-$C$2+0.76*LN(AB11)-0.034*(LN(AB11))^2))</f>
        <v>11.429136279865288</v>
      </c>
      <c r="AD11">
        <f t="shared" si="8"/>
        <v>68.447482005353919</v>
      </c>
      <c r="AE11">
        <f t="shared" si="32"/>
        <v>46.577880449100753</v>
      </c>
      <c r="AF11">
        <f t="shared" si="25"/>
        <v>1514.365851096491</v>
      </c>
      <c r="AH11" s="41" t="s">
        <v>122</v>
      </c>
      <c r="AI11">
        <v>0.49</v>
      </c>
      <c r="AJ11" s="45">
        <f t="shared" si="9"/>
        <v>6.5100000000000007</v>
      </c>
      <c r="AK11">
        <f t="shared" si="26"/>
        <v>7.6738700839854843</v>
      </c>
      <c r="AL11">
        <f t="shared" si="10"/>
        <v>9.4957795543187338</v>
      </c>
      <c r="AM11">
        <f t="shared" si="33"/>
        <v>46.577880449100753</v>
      </c>
      <c r="AN11">
        <f t="shared" si="11"/>
        <v>210.08931030473477</v>
      </c>
      <c r="AQ11">
        <f t="shared" si="27"/>
        <v>5.6</v>
      </c>
      <c r="AR11">
        <f t="shared" si="12"/>
        <v>20.552</v>
      </c>
      <c r="AS11">
        <f t="shared" si="13"/>
        <v>13.837966220490282</v>
      </c>
      <c r="AT11">
        <f t="shared" si="14"/>
        <v>3.251922061815216</v>
      </c>
      <c r="AU11">
        <f t="shared" si="15"/>
        <v>17.089888282305498</v>
      </c>
      <c r="AV11">
        <f t="shared" si="16"/>
        <v>37.641888282305501</v>
      </c>
      <c r="BA11">
        <f t="shared" si="17"/>
        <v>232.88940224550376</v>
      </c>
      <c r="BB11" s="30">
        <f t="shared" si="18"/>
        <v>8.6198497493709354</v>
      </c>
      <c r="BC11" s="30">
        <f t="shared" si="19"/>
        <v>8.6198497493709354</v>
      </c>
    </row>
    <row r="12" spans="1:56" ht="19">
      <c r="A12" s="39">
        <v>8</v>
      </c>
      <c r="B12" s="41" t="s">
        <v>106</v>
      </c>
      <c r="C12">
        <v>0.88100000000000001</v>
      </c>
      <c r="D12" s="45">
        <f t="shared" si="20"/>
        <v>2.9760000000000004</v>
      </c>
      <c r="E12">
        <f t="shared" si="21"/>
        <v>4.5804863350725551</v>
      </c>
      <c r="F12">
        <f t="shared" si="0"/>
        <v>2.2074594662838409</v>
      </c>
      <c r="G12">
        <f t="shared" si="28"/>
        <v>46.344991046855249</v>
      </c>
      <c r="H12">
        <f t="shared" si="1"/>
        <v>48.594727370579719</v>
      </c>
      <c r="J12" s="40" t="s">
        <v>9</v>
      </c>
      <c r="K12">
        <v>0.82499999999999996</v>
      </c>
      <c r="L12" s="45">
        <f t="shared" si="2"/>
        <v>7.44</v>
      </c>
      <c r="M12">
        <f t="shared" si="22"/>
        <v>8.3452165344823772</v>
      </c>
      <c r="N12">
        <f t="shared" si="3"/>
        <v>22.238607785899386</v>
      </c>
      <c r="O12">
        <f t="shared" si="29"/>
        <v>46.344991046855249</v>
      </c>
      <c r="P12">
        <f t="shared" si="4"/>
        <v>489.55783739771539</v>
      </c>
      <c r="R12" s="41" t="s">
        <v>111</v>
      </c>
      <c r="S12">
        <v>0.34</v>
      </c>
      <c r="T12" s="45">
        <f t="shared" si="5"/>
        <v>17.111999999999998</v>
      </c>
      <c r="U12">
        <f t="shared" si="23"/>
        <v>18.968952535336339</v>
      </c>
      <c r="V12">
        <f t="shared" si="6"/>
        <v>106.05030033613085</v>
      </c>
      <c r="W12">
        <f t="shared" si="30"/>
        <v>46.344991046855249</v>
      </c>
      <c r="X12">
        <f t="shared" si="7"/>
        <v>2334.5776043072897</v>
      </c>
      <c r="Z12" s="40" t="s">
        <v>31</v>
      </c>
      <c r="AA12">
        <v>0.67500000000000004</v>
      </c>
      <c r="AB12" s="45">
        <f t="shared" si="31"/>
        <v>13.787306798171738</v>
      </c>
      <c r="AC12">
        <f t="shared" si="34"/>
        <v>12.102276493370498</v>
      </c>
      <c r="AD12">
        <f t="shared" si="8"/>
        <v>87.61080562375632</v>
      </c>
      <c r="AE12">
        <f t="shared" si="32"/>
        <v>46.344991046855249</v>
      </c>
      <c r="AF12">
        <f t="shared" si="25"/>
        <v>1928.652951064362</v>
      </c>
      <c r="AH12" s="41" t="s">
        <v>122</v>
      </c>
      <c r="AI12">
        <v>0.49</v>
      </c>
      <c r="AJ12" s="45">
        <f t="shared" si="9"/>
        <v>7.44</v>
      </c>
      <c r="AK12">
        <f t="shared" si="26"/>
        <v>8.3452165344823772</v>
      </c>
      <c r="AL12">
        <f t="shared" si="10"/>
        <v>13.374572698868434</v>
      </c>
      <c r="AM12">
        <f t="shared" si="33"/>
        <v>46.344991046855249</v>
      </c>
      <c r="AN12">
        <f t="shared" si="11"/>
        <v>294.42611469267177</v>
      </c>
      <c r="AQ12">
        <f t="shared" si="27"/>
        <v>6.3999999999999995</v>
      </c>
      <c r="AR12">
        <f t="shared" si="12"/>
        <v>23.487999999999996</v>
      </c>
      <c r="AS12">
        <f t="shared" si="13"/>
        <v>18.701619891835712</v>
      </c>
      <c r="AT12">
        <f t="shared" si="14"/>
        <v>4.3948806745813922</v>
      </c>
      <c r="AU12">
        <f t="shared" si="15"/>
        <v>23.096500566417106</v>
      </c>
      <c r="AV12">
        <f t="shared" si="16"/>
        <v>46.584500566417105</v>
      </c>
      <c r="AX12" s="38" t="s">
        <v>18</v>
      </c>
      <c r="AY12" t="s">
        <v>104</v>
      </c>
      <c r="BA12">
        <f t="shared" si="17"/>
        <v>231.72495523427625</v>
      </c>
      <c r="BB12">
        <f t="shared" si="18"/>
        <v>9.7510613596343454</v>
      </c>
      <c r="BC12">
        <f t="shared" si="19"/>
        <v>9.7510613596343472</v>
      </c>
    </row>
    <row r="13" spans="1:56">
      <c r="A13" s="39">
        <v>9</v>
      </c>
      <c r="B13" s="41" t="s">
        <v>106</v>
      </c>
      <c r="C13">
        <v>0.88100000000000001</v>
      </c>
      <c r="D13" s="45">
        <f t="shared" si="20"/>
        <v>3.3480000000000003</v>
      </c>
      <c r="E13">
        <f t="shared" si="21"/>
        <v>4.9635136380079485</v>
      </c>
      <c r="F13">
        <f t="shared" si="0"/>
        <v>3.0045748397301977</v>
      </c>
      <c r="G13">
        <f t="shared" si="28"/>
        <v>46.113266091620972</v>
      </c>
      <c r="H13">
        <f t="shared" si="1"/>
        <v>65.811610561417311</v>
      </c>
      <c r="J13" s="40" t="s">
        <v>9</v>
      </c>
      <c r="K13">
        <v>0.82499999999999996</v>
      </c>
      <c r="L13" s="45">
        <f t="shared" si="2"/>
        <v>8.370000000000001</v>
      </c>
      <c r="M13">
        <f t="shared" si="22"/>
        <v>8.9769341186041984</v>
      </c>
      <c r="N13">
        <f t="shared" si="3"/>
        <v>30.052954720259297</v>
      </c>
      <c r="O13">
        <f t="shared" si="29"/>
        <v>46.113266091620972</v>
      </c>
      <c r="P13">
        <f t="shared" si="4"/>
        <v>658.27395148100788</v>
      </c>
      <c r="R13" s="41" t="s">
        <v>111</v>
      </c>
      <c r="S13">
        <v>0.34</v>
      </c>
      <c r="T13" s="45">
        <f t="shared" si="5"/>
        <v>19.251000000000001</v>
      </c>
      <c r="U13">
        <f t="shared" si="23"/>
        <v>20.424292378619654</v>
      </c>
      <c r="V13">
        <f t="shared" si="6"/>
        <v>143.4481024059962</v>
      </c>
      <c r="W13">
        <f t="shared" si="30"/>
        <v>46.113266091620972</v>
      </c>
      <c r="X13">
        <f t="shared" si="7"/>
        <v>3142.0587453782537</v>
      </c>
      <c r="Z13" s="40" t="s">
        <v>31</v>
      </c>
      <c r="AA13">
        <v>0.67500000000000004</v>
      </c>
      <c r="AB13" s="45">
        <f t="shared" si="31"/>
        <v>14.920808331435939</v>
      </c>
      <c r="AC13">
        <f t="shared" si="34"/>
        <v>12.668662753203611</v>
      </c>
      <c r="AD13">
        <f t="shared" si="8"/>
        <v>106.88664693160936</v>
      </c>
      <c r="AE13">
        <f t="shared" si="32"/>
        <v>46.113266091620972</v>
      </c>
      <c r="AF13">
        <f t="shared" si="25"/>
        <v>2341.2238860092612</v>
      </c>
      <c r="AH13" s="41" t="s">
        <v>122</v>
      </c>
      <c r="AI13">
        <v>0.49</v>
      </c>
      <c r="AJ13" s="45">
        <f t="shared" si="9"/>
        <v>8.370000000000001</v>
      </c>
      <c r="AK13">
        <f t="shared" si="26"/>
        <v>8.9769341186041984</v>
      </c>
      <c r="AL13">
        <f t="shared" si="10"/>
        <v>18.074217216815455</v>
      </c>
      <c r="AM13">
        <f t="shared" si="33"/>
        <v>46.113266091620972</v>
      </c>
      <c r="AN13">
        <f t="shared" si="11"/>
        <v>395.89406426046486</v>
      </c>
      <c r="AQ13">
        <f t="shared" si="27"/>
        <v>7.1999999999999993</v>
      </c>
      <c r="AR13">
        <f t="shared" si="12"/>
        <v>26.423999999999996</v>
      </c>
      <c r="AS13">
        <f t="shared" si="13"/>
        <v>24.233972485723786</v>
      </c>
      <c r="AT13">
        <f t="shared" si="14"/>
        <v>5.6949835341450896</v>
      </c>
      <c r="AU13">
        <f t="shared" si="15"/>
        <v>29.928956019868878</v>
      </c>
      <c r="AV13">
        <f t="shared" si="16"/>
        <v>56.35295601986887</v>
      </c>
      <c r="AX13">
        <f>AX7-AX10</f>
        <v>141612.7479578502</v>
      </c>
      <c r="AY13">
        <f>AX13/AX4</f>
        <v>323.20608914264568</v>
      </c>
      <c r="BA13">
        <f t="shared" si="17"/>
        <v>230.56633045810486</v>
      </c>
      <c r="BB13">
        <f t="shared" si="18"/>
        <v>10.85196166628719</v>
      </c>
      <c r="BC13">
        <f t="shared" si="19"/>
        <v>10.851961666287188</v>
      </c>
    </row>
    <row r="14" spans="1:56">
      <c r="A14" s="39">
        <v>10</v>
      </c>
      <c r="B14" s="41" t="s">
        <v>106</v>
      </c>
      <c r="C14">
        <v>0.88100000000000001</v>
      </c>
      <c r="D14" s="45">
        <f t="shared" si="20"/>
        <v>3.72</v>
      </c>
      <c r="E14">
        <f t="shared" si="21"/>
        <v>5.3289440925668474</v>
      </c>
      <c r="F14">
        <f t="shared" si="0"/>
        <v>3.9556070796444329</v>
      </c>
      <c r="G14">
        <f t="shared" si="28"/>
        <v>45.882699761162868</v>
      </c>
      <c r="H14">
        <f t="shared" si="1"/>
        <v>86.209617704016495</v>
      </c>
      <c r="J14" s="40" t="s">
        <v>9</v>
      </c>
      <c r="K14">
        <v>0.82499999999999996</v>
      </c>
      <c r="L14" s="45">
        <f t="shared" si="2"/>
        <v>9.3000000000000007</v>
      </c>
      <c r="M14">
        <f t="shared" si="22"/>
        <v>9.5747828932343708</v>
      </c>
      <c r="N14">
        <f t="shared" si="3"/>
        <v>39.312863127983853</v>
      </c>
      <c r="O14">
        <f t="shared" si="29"/>
        <v>45.882699761162868</v>
      </c>
      <c r="P14">
        <f t="shared" si="4"/>
        <v>856.79564043516234</v>
      </c>
      <c r="R14" s="41" t="s">
        <v>111</v>
      </c>
      <c r="S14">
        <v>0.34</v>
      </c>
      <c r="T14" s="45">
        <f t="shared" si="5"/>
        <v>21.39</v>
      </c>
      <c r="U14">
        <f t="shared" si="23"/>
        <v>21.784262303192751</v>
      </c>
      <c r="V14">
        <f t="shared" si="6"/>
        <v>187.64516037153859</v>
      </c>
      <c r="W14">
        <f t="shared" si="30"/>
        <v>45.882699761162868</v>
      </c>
      <c r="X14">
        <f t="shared" si="7"/>
        <v>4089.5916136072165</v>
      </c>
      <c r="Z14" s="40" t="s">
        <v>31</v>
      </c>
      <c r="AA14">
        <v>0.67500000000000004</v>
      </c>
      <c r="AB14" s="45">
        <f t="shared" si="31"/>
        <v>15.93476000434122</v>
      </c>
      <c r="AC14">
        <f t="shared" si="34"/>
        <v>13.1558721993145</v>
      </c>
      <c r="AD14">
        <f t="shared" si="8"/>
        <v>126.08249358094318</v>
      </c>
      <c r="AE14">
        <f t="shared" si="32"/>
        <v>45.882699761162868</v>
      </c>
      <c r="AF14">
        <f t="shared" si="25"/>
        <v>2747.8774691037511</v>
      </c>
      <c r="AH14" s="41" t="s">
        <v>122</v>
      </c>
      <c r="AI14">
        <v>0.49</v>
      </c>
      <c r="AJ14" s="45">
        <f t="shared" si="9"/>
        <v>9.3000000000000007</v>
      </c>
      <c r="AK14">
        <f t="shared" si="26"/>
        <v>9.5747828932343708</v>
      </c>
      <c r="AL14">
        <f t="shared" si="10"/>
        <v>23.643240213952069</v>
      </c>
      <c r="AM14">
        <f t="shared" si="33"/>
        <v>45.882699761162868</v>
      </c>
      <c r="AN14">
        <f t="shared" si="11"/>
        <v>515.28745375596202</v>
      </c>
      <c r="AQ14">
        <f t="shared" si="27"/>
        <v>7.9999999999999991</v>
      </c>
      <c r="AR14">
        <f t="shared" si="12"/>
        <v>29.359999999999996</v>
      </c>
      <c r="AS14">
        <f t="shared" si="13"/>
        <v>30.445445786204417</v>
      </c>
      <c r="AT14">
        <f t="shared" si="14"/>
        <v>7.1546797597580376</v>
      </c>
      <c r="AU14">
        <f t="shared" si="15"/>
        <v>37.600125545962456</v>
      </c>
      <c r="AV14">
        <f t="shared" si="16"/>
        <v>66.960125545962455</v>
      </c>
      <c r="AY14">
        <f>AY13/30</f>
        <v>10.773536304754856</v>
      </c>
      <c r="BA14">
        <f t="shared" si="17"/>
        <v>229.41349880581436</v>
      </c>
      <c r="BB14" s="30">
        <f t="shared" si="18"/>
        <v>11.928952000868245</v>
      </c>
      <c r="BC14" s="30">
        <f t="shared" si="19"/>
        <v>11.928952000868245</v>
      </c>
    </row>
    <row r="15" spans="1:56">
      <c r="A15" s="39">
        <v>11</v>
      </c>
      <c r="B15" s="41" t="s">
        <v>106</v>
      </c>
      <c r="C15">
        <v>0.88100000000000001</v>
      </c>
      <c r="D15" s="45">
        <f t="shared" si="20"/>
        <v>4.0920000000000005</v>
      </c>
      <c r="E15">
        <f t="shared" si="21"/>
        <v>5.6789458598553804</v>
      </c>
      <c r="F15">
        <f t="shared" si="0"/>
        <v>5.0696175060479165</v>
      </c>
      <c r="G15">
        <f t="shared" si="28"/>
        <v>45.653286262357057</v>
      </c>
      <c r="H15">
        <f t="shared" si="1"/>
        <v>109.93623214102453</v>
      </c>
      <c r="J15" s="40" t="s">
        <v>9</v>
      </c>
      <c r="K15">
        <v>0.82499999999999996</v>
      </c>
      <c r="L15" s="45">
        <f t="shared" si="2"/>
        <v>10.23</v>
      </c>
      <c r="M15">
        <f t="shared" si="22"/>
        <v>10.143233278539444</v>
      </c>
      <c r="N15">
        <f t="shared" si="3"/>
        <v>50.093287554435221</v>
      </c>
      <c r="O15">
        <f t="shared" si="29"/>
        <v>45.653286262357057</v>
      </c>
      <c r="P15">
        <f t="shared" si="4"/>
        <v>1086.2885183589694</v>
      </c>
      <c r="R15" s="41" t="s">
        <v>111</v>
      </c>
      <c r="S15">
        <v>0.34</v>
      </c>
      <c r="T15" s="45">
        <f t="shared" si="5"/>
        <v>23.529</v>
      </c>
      <c r="U15">
        <f t="shared" si="23"/>
        <v>23.058962009663002</v>
      </c>
      <c r="V15">
        <f t="shared" si="6"/>
        <v>238.91315302630261</v>
      </c>
      <c r="W15">
        <f t="shared" si="30"/>
        <v>45.653286262357057</v>
      </c>
      <c r="X15">
        <f t="shared" si="7"/>
        <v>5180.9060193022524</v>
      </c>
      <c r="Z15" s="40" t="s">
        <v>31</v>
      </c>
      <c r="AA15">
        <v>0.67500000000000004</v>
      </c>
      <c r="AB15" s="45">
        <f t="shared" si="31"/>
        <v>16.851990863113315</v>
      </c>
      <c r="AC15">
        <f t="shared" si="34"/>
        <v>13.582195396567352</v>
      </c>
      <c r="AD15">
        <f t="shared" si="8"/>
        <v>145.08329583462321</v>
      </c>
      <c r="AE15">
        <f t="shared" si="32"/>
        <v>45.653286262357057</v>
      </c>
      <c r="AF15">
        <f t="shared" si="25"/>
        <v>3146.1763873965369</v>
      </c>
      <c r="AH15" s="41" t="s">
        <v>122</v>
      </c>
      <c r="AI15">
        <v>0.49</v>
      </c>
      <c r="AJ15" s="45">
        <f t="shared" si="9"/>
        <v>10.23</v>
      </c>
      <c r="AK15">
        <f t="shared" si="26"/>
        <v>10.143233278539444</v>
      </c>
      <c r="AL15">
        <f t="shared" si="10"/>
        <v>30.126720277288221</v>
      </c>
      <c r="AM15">
        <f t="shared" si="33"/>
        <v>45.653286262357057</v>
      </c>
      <c r="AN15">
        <f t="shared" si="11"/>
        <v>653.30729785837309</v>
      </c>
      <c r="AQ15">
        <f t="shared" si="27"/>
        <v>8.7999999999999989</v>
      </c>
      <c r="AR15">
        <f t="shared" si="12"/>
        <v>32.295999999999992</v>
      </c>
      <c r="AS15">
        <f t="shared" si="13"/>
        <v>37.348175050059766</v>
      </c>
      <c r="AT15">
        <f t="shared" si="14"/>
        <v>8.7768211367640436</v>
      </c>
      <c r="AU15">
        <f t="shared" si="15"/>
        <v>46.124996186823807</v>
      </c>
      <c r="AV15">
        <f t="shared" si="16"/>
        <v>78.4209961868238</v>
      </c>
      <c r="BA15">
        <f t="shared" si="17"/>
        <v>228.26643131178528</v>
      </c>
      <c r="BB15">
        <f t="shared" si="18"/>
        <v>12.986598172622664</v>
      </c>
      <c r="BC15">
        <f t="shared" si="19"/>
        <v>12.986598172622664</v>
      </c>
    </row>
    <row r="16" spans="1:56">
      <c r="A16" s="39">
        <v>12</v>
      </c>
      <c r="B16" s="41" t="s">
        <v>106</v>
      </c>
      <c r="C16">
        <v>0.88100000000000001</v>
      </c>
      <c r="D16" s="45">
        <f t="shared" si="20"/>
        <v>4.4640000000000013</v>
      </c>
      <c r="E16">
        <f t="shared" si="21"/>
        <v>6.0152621208069359</v>
      </c>
      <c r="F16">
        <f t="shared" si="0"/>
        <v>6.3551471270081539</v>
      </c>
      <c r="G16">
        <f t="shared" si="28"/>
        <v>45.425019831045269</v>
      </c>
      <c r="H16">
        <f t="shared" si="1"/>
        <v>137.12427502993899</v>
      </c>
      <c r="J16" s="40" t="s">
        <v>9</v>
      </c>
      <c r="K16">
        <v>0.82499999999999996</v>
      </c>
      <c r="L16" s="45">
        <f t="shared" si="2"/>
        <v>11.16</v>
      </c>
      <c r="M16">
        <f t="shared" si="22"/>
        <v>10.685841331129799</v>
      </c>
      <c r="N16">
        <f t="shared" si="3"/>
        <v>62.464308682529619</v>
      </c>
      <c r="O16">
        <f t="shared" si="29"/>
        <v>45.425019831045269</v>
      </c>
      <c r="P16">
        <f t="shared" si="4"/>
        <v>1347.7851688023095</v>
      </c>
      <c r="R16" s="41" t="s">
        <v>111</v>
      </c>
      <c r="S16">
        <v>0.34</v>
      </c>
      <c r="T16" s="45">
        <f t="shared" si="5"/>
        <v>25.667999999999999</v>
      </c>
      <c r="U16">
        <f t="shared" si="23"/>
        <v>24.256772210620053</v>
      </c>
      <c r="V16">
        <f t="shared" si="6"/>
        <v>297.48751825172172</v>
      </c>
      <c r="W16">
        <f t="shared" si="30"/>
        <v>45.425019831045269</v>
      </c>
      <c r="X16">
        <f t="shared" si="7"/>
        <v>6418.8537976346279</v>
      </c>
      <c r="Z16" s="40" t="s">
        <v>31</v>
      </c>
      <c r="AA16">
        <v>0.67500000000000004</v>
      </c>
      <c r="AB16" s="45">
        <f t="shared" si="31"/>
        <v>17.689357031165791</v>
      </c>
      <c r="AC16">
        <f t="shared" si="34"/>
        <v>13.96035481220796</v>
      </c>
      <c r="AD16">
        <f t="shared" si="8"/>
        <v>163.82055944635707</v>
      </c>
      <c r="AE16">
        <f t="shared" si="32"/>
        <v>45.425019831045269</v>
      </c>
      <c r="AF16">
        <f t="shared" si="25"/>
        <v>3534.737276752257</v>
      </c>
      <c r="AH16" s="41" t="s">
        <v>122</v>
      </c>
      <c r="AI16">
        <v>0.49</v>
      </c>
      <c r="AJ16" s="45">
        <f t="shared" si="9"/>
        <v>11.16</v>
      </c>
      <c r="AK16">
        <f t="shared" si="26"/>
        <v>10.685841331129799</v>
      </c>
      <c r="AL16">
        <f t="shared" si="10"/>
        <v>37.566804792913622</v>
      </c>
      <c r="AM16">
        <f t="shared" si="33"/>
        <v>45.425019831045269</v>
      </c>
      <c r="AN16">
        <f t="shared" si="11"/>
        <v>810.57460503587606</v>
      </c>
      <c r="AQ16">
        <f t="shared" si="27"/>
        <v>9.6</v>
      </c>
      <c r="AR16">
        <f t="shared" si="12"/>
        <v>35.231999999999999</v>
      </c>
      <c r="AS16">
        <f t="shared" si="13"/>
        <v>44.954105702345885</v>
      </c>
      <c r="AT16">
        <f t="shared" si="14"/>
        <v>10.564214840051282</v>
      </c>
      <c r="AU16">
        <f t="shared" si="15"/>
        <v>55.518320542397163</v>
      </c>
      <c r="AV16">
        <f t="shared" si="16"/>
        <v>90.750320542397162</v>
      </c>
      <c r="BA16">
        <f t="shared" si="17"/>
        <v>227.12509915522634</v>
      </c>
      <c r="BB16">
        <f t="shared" si="18"/>
        <v>14.028271406233159</v>
      </c>
      <c r="BC16">
        <f t="shared" si="19"/>
        <v>14.028271406233157</v>
      </c>
    </row>
    <row r="17" spans="1:55">
      <c r="A17" s="39">
        <v>13</v>
      </c>
      <c r="B17" s="41" t="s">
        <v>106</v>
      </c>
      <c r="C17">
        <v>0.88100000000000001</v>
      </c>
      <c r="D17" s="45">
        <f t="shared" si="20"/>
        <v>4.8360000000000003</v>
      </c>
      <c r="E17">
        <f t="shared" si="21"/>
        <v>6.3393213558251986</v>
      </c>
      <c r="F17">
        <f t="shared" si="0"/>
        <v>7.8202841700279597</v>
      </c>
      <c r="G17">
        <f t="shared" si="28"/>
        <v>45.197894731890045</v>
      </c>
      <c r="H17">
        <f t="shared" si="1"/>
        <v>167.89368082793519</v>
      </c>
      <c r="J17" s="40" t="s">
        <v>9</v>
      </c>
      <c r="K17">
        <v>0.82499999999999996</v>
      </c>
      <c r="L17" s="45">
        <f t="shared" si="2"/>
        <v>12.09</v>
      </c>
      <c r="M17">
        <f t="shared" si="22"/>
        <v>11.205493366958343</v>
      </c>
      <c r="N17">
        <f t="shared" si="3"/>
        <v>76.491802769412587</v>
      </c>
      <c r="O17">
        <f t="shared" si="29"/>
        <v>45.197894731890045</v>
      </c>
      <c r="P17">
        <f t="shared" si="4"/>
        <v>1642.2025134765925</v>
      </c>
      <c r="R17" s="41" t="s">
        <v>111</v>
      </c>
      <c r="S17">
        <v>0.34</v>
      </c>
      <c r="T17" s="45">
        <f t="shared" si="5"/>
        <v>27.806999999999999</v>
      </c>
      <c r="U17">
        <f t="shared" si="23"/>
        <v>25.38476965008298</v>
      </c>
      <c r="V17">
        <f t="shared" si="6"/>
        <v>363.57233702389618</v>
      </c>
      <c r="W17">
        <f t="shared" si="30"/>
        <v>45.197894731890045</v>
      </c>
      <c r="X17">
        <f t="shared" si="7"/>
        <v>7805.5345027108215</v>
      </c>
      <c r="Z17" s="40" t="s">
        <v>31</v>
      </c>
      <c r="AA17">
        <v>0.67500000000000004</v>
      </c>
      <c r="AB17" s="45">
        <f t="shared" si="31"/>
        <v>18.459659234441144</v>
      </c>
      <c r="AC17">
        <f t="shared" si="34"/>
        <v>14.299538088674256</v>
      </c>
      <c r="AD17">
        <f t="shared" si="8"/>
        <v>182.25457962307632</v>
      </c>
      <c r="AE17">
        <f t="shared" si="32"/>
        <v>45.197894731890045</v>
      </c>
      <c r="AF17">
        <f t="shared" si="25"/>
        <v>3912.8235694991213</v>
      </c>
      <c r="AH17" s="41" t="s">
        <v>122</v>
      </c>
      <c r="AI17">
        <v>0.49</v>
      </c>
      <c r="AJ17" s="45">
        <f t="shared" si="9"/>
        <v>12.09</v>
      </c>
      <c r="AK17">
        <f t="shared" si="26"/>
        <v>11.205493366958343</v>
      </c>
      <c r="AL17">
        <f t="shared" si="10"/>
        <v>46.003112553461492</v>
      </c>
      <c r="AM17">
        <f t="shared" si="33"/>
        <v>45.197894731890045</v>
      </c>
      <c r="AN17">
        <f t="shared" si="11"/>
        <v>987.64082330205486</v>
      </c>
      <c r="AQ17">
        <f t="shared" si="27"/>
        <v>10.4</v>
      </c>
      <c r="AR17">
        <f t="shared" si="12"/>
        <v>38.167999999999999</v>
      </c>
      <c r="AS17">
        <f t="shared" si="13"/>
        <v>53.274068979626655</v>
      </c>
      <c r="AT17">
        <f t="shared" si="14"/>
        <v>12.519406210212264</v>
      </c>
      <c r="AU17">
        <f t="shared" si="15"/>
        <v>65.793475189838915</v>
      </c>
      <c r="AV17">
        <f t="shared" si="16"/>
        <v>103.96147518983892</v>
      </c>
      <c r="BA17">
        <f t="shared" si="17"/>
        <v>225.98947365945023</v>
      </c>
      <c r="BB17">
        <f t="shared" si="18"/>
        <v>15.05653184688823</v>
      </c>
      <c r="BC17">
        <f t="shared" si="19"/>
        <v>15.056531846888229</v>
      </c>
    </row>
    <row r="18" spans="1:55">
      <c r="A18" s="39">
        <v>14</v>
      </c>
      <c r="B18" s="41" t="s">
        <v>106</v>
      </c>
      <c r="C18">
        <v>0.88100000000000001</v>
      </c>
      <c r="D18" s="45">
        <f t="shared" si="20"/>
        <v>5.2080000000000011</v>
      </c>
      <c r="E18">
        <f t="shared" si="21"/>
        <v>6.6523129477924181</v>
      </c>
      <c r="F18">
        <f t="shared" si="0"/>
        <v>9.472718306831073</v>
      </c>
      <c r="G18">
        <f t="shared" si="28"/>
        <v>44.971905258230592</v>
      </c>
      <c r="H18">
        <f t="shared" si="1"/>
        <v>202.35294036053889</v>
      </c>
      <c r="J18" s="40" t="s">
        <v>9</v>
      </c>
      <c r="K18">
        <v>0.82499999999999996</v>
      </c>
      <c r="L18" s="45">
        <f t="shared" si="2"/>
        <v>13.020000000000001</v>
      </c>
      <c r="M18">
        <f t="shared" si="22"/>
        <v>11.704571823480883</v>
      </c>
      <c r="N18">
        <f t="shared" si="3"/>
        <v>92.237974490053972</v>
      </c>
      <c r="O18">
        <f t="shared" si="29"/>
        <v>44.971905258230592</v>
      </c>
      <c r="P18">
        <f t="shared" si="4"/>
        <v>1970.3557887394536</v>
      </c>
      <c r="R18" s="41" t="s">
        <v>111</v>
      </c>
      <c r="S18">
        <v>0.34</v>
      </c>
      <c r="T18" s="45">
        <f t="shared" si="5"/>
        <v>29.945999999999998</v>
      </c>
      <c r="U18">
        <f t="shared" si="23"/>
        <v>26.449015687252821</v>
      </c>
      <c r="V18">
        <f t="shared" si="6"/>
        <v>437.34438015125659</v>
      </c>
      <c r="W18">
        <f t="shared" si="30"/>
        <v>44.971905258230592</v>
      </c>
      <c r="X18">
        <f t="shared" si="7"/>
        <v>9342.3997639564004</v>
      </c>
      <c r="Z18" s="40" t="s">
        <v>31</v>
      </c>
      <c r="AA18">
        <v>0.67500000000000004</v>
      </c>
      <c r="AB18" s="45">
        <f t="shared" si="31"/>
        <v>19.172847679578592</v>
      </c>
      <c r="AC18">
        <f t="shared" si="34"/>
        <v>14.60658479924488</v>
      </c>
      <c r="AD18">
        <f t="shared" si="8"/>
        <v>200.36384099779482</v>
      </c>
      <c r="AE18">
        <f t="shared" si="32"/>
        <v>44.971905258230592</v>
      </c>
      <c r="AF18">
        <f t="shared" si="25"/>
        <v>4280.1032454008027</v>
      </c>
      <c r="AH18" s="41" t="s">
        <v>122</v>
      </c>
      <c r="AI18">
        <v>0.49</v>
      </c>
      <c r="AJ18" s="45">
        <f t="shared" si="9"/>
        <v>13.020000000000001</v>
      </c>
      <c r="AK18">
        <f t="shared" si="26"/>
        <v>11.704571823480883</v>
      </c>
      <c r="AL18">
        <f t="shared" si="10"/>
        <v>55.473054216811313</v>
      </c>
      <c r="AM18">
        <f t="shared" si="33"/>
        <v>44.971905258230592</v>
      </c>
      <c r="AN18">
        <f t="shared" si="11"/>
        <v>1184.9962458459854</v>
      </c>
      <c r="AQ18">
        <f t="shared" si="27"/>
        <v>11.200000000000001</v>
      </c>
      <c r="AR18">
        <f t="shared" si="12"/>
        <v>41.104000000000006</v>
      </c>
      <c r="AS18">
        <f t="shared" si="13"/>
        <v>62.317363302392664</v>
      </c>
      <c r="AT18">
        <f t="shared" si="14"/>
        <v>14.644580376062276</v>
      </c>
      <c r="AU18">
        <f t="shared" si="15"/>
        <v>76.961943678454944</v>
      </c>
      <c r="AV18">
        <f t="shared" si="16"/>
        <v>118.06594367845494</v>
      </c>
      <c r="BA18">
        <f t="shared" si="17"/>
        <v>224.85952629115297</v>
      </c>
      <c r="BB18">
        <f t="shared" si="18"/>
        <v>16.073369535915717</v>
      </c>
      <c r="BC18">
        <f t="shared" si="19"/>
        <v>16.073369535915717</v>
      </c>
    </row>
    <row r="19" spans="1:55">
      <c r="A19" s="39">
        <v>15</v>
      </c>
      <c r="B19" s="41" t="s">
        <v>106</v>
      </c>
      <c r="C19">
        <v>0.88100000000000001</v>
      </c>
      <c r="D19" s="45">
        <f t="shared" si="20"/>
        <v>5.58</v>
      </c>
      <c r="E19">
        <f t="shared" si="21"/>
        <v>6.9552406681794228</v>
      </c>
      <c r="F19">
        <f t="shared" si="0"/>
        <v>11.319784980405091</v>
      </c>
      <c r="G19">
        <f t="shared" si="28"/>
        <v>44.747045731939437</v>
      </c>
      <c r="H19">
        <f t="shared" si="1"/>
        <v>240.60029469210619</v>
      </c>
      <c r="J19" s="40" t="s">
        <v>9</v>
      </c>
      <c r="K19">
        <v>0.82499999999999996</v>
      </c>
      <c r="L19" s="45">
        <f t="shared" si="2"/>
        <v>13.950000000000001</v>
      </c>
      <c r="M19">
        <f t="shared" si="22"/>
        <v>12.185071442047949</v>
      </c>
      <c r="N19">
        <f t="shared" si="3"/>
        <v>109.76178905594149</v>
      </c>
      <c r="O19">
        <f t="shared" si="29"/>
        <v>44.747045731939437</v>
      </c>
      <c r="P19">
        <f t="shared" si="4"/>
        <v>2332.9700023902092</v>
      </c>
      <c r="R19" s="41" t="s">
        <v>111</v>
      </c>
      <c r="S19">
        <v>0.34</v>
      </c>
      <c r="T19" s="45">
        <f t="shared" si="5"/>
        <v>32.085000000000001</v>
      </c>
      <c r="U19">
        <f t="shared" si="23"/>
        <v>27.454763680090526</v>
      </c>
      <c r="V19">
        <f t="shared" si="6"/>
        <v>518.95650631786361</v>
      </c>
      <c r="W19">
        <f t="shared" si="30"/>
        <v>44.747045731939437</v>
      </c>
      <c r="X19">
        <f t="shared" si="7"/>
        <v>11030.340997519155</v>
      </c>
      <c r="Z19" s="40" t="s">
        <v>31</v>
      </c>
      <c r="AA19">
        <v>0.67500000000000004</v>
      </c>
      <c r="AB19" s="45">
        <f t="shared" si="31"/>
        <v>19.836810237335275</v>
      </c>
      <c r="AC19">
        <f t="shared" si="34"/>
        <v>14.886716120856725</v>
      </c>
      <c r="AD19">
        <f t="shared" si="8"/>
        <v>218.13849317001043</v>
      </c>
      <c r="AE19">
        <f t="shared" si="32"/>
        <v>44.747045731939437</v>
      </c>
      <c r="AF19">
        <f t="shared" si="25"/>
        <v>4636.5002366430372</v>
      </c>
      <c r="AH19" s="41" t="s">
        <v>122</v>
      </c>
      <c r="AI19">
        <v>0.49</v>
      </c>
      <c r="AJ19" s="45">
        <f t="shared" si="9"/>
        <v>13.950000000000001</v>
      </c>
      <c r="AK19">
        <f t="shared" si="26"/>
        <v>12.185071442047949</v>
      </c>
      <c r="AL19">
        <f t="shared" si="10"/>
        <v>66.012092187594689</v>
      </c>
      <c r="AM19">
        <f t="shared" si="33"/>
        <v>44.747045731939437</v>
      </c>
      <c r="AN19">
        <f t="shared" si="11"/>
        <v>1403.0769012901681</v>
      </c>
      <c r="AQ19">
        <f t="shared" si="27"/>
        <v>12.000000000000002</v>
      </c>
      <c r="AR19">
        <f t="shared" si="12"/>
        <v>44.040000000000006</v>
      </c>
      <c r="AS19">
        <f t="shared" si="13"/>
        <v>72.09160254740226</v>
      </c>
      <c r="AT19">
        <f t="shared" si="14"/>
        <v>16.94152659863953</v>
      </c>
      <c r="AU19">
        <f t="shared" si="15"/>
        <v>89.033129146041787</v>
      </c>
      <c r="AV19">
        <f t="shared" si="16"/>
        <v>133.07312914604179</v>
      </c>
      <c r="BA19">
        <f t="shared" si="17"/>
        <v>223.73522865969719</v>
      </c>
      <c r="BB19" s="30">
        <f t="shared" si="18"/>
        <v>17.080362047467055</v>
      </c>
      <c r="BC19" s="30">
        <f t="shared" si="19"/>
        <v>17.080362047467055</v>
      </c>
    </row>
    <row r="20" spans="1:55">
      <c r="A20" s="39">
        <v>16</v>
      </c>
      <c r="B20" s="41" t="s">
        <v>106</v>
      </c>
      <c r="C20">
        <v>0.88100000000000001</v>
      </c>
      <c r="D20" s="45">
        <f t="shared" si="20"/>
        <v>5.9520000000000008</v>
      </c>
      <c r="E20">
        <f t="shared" si="21"/>
        <v>7.2489615322552217</v>
      </c>
      <c r="F20">
        <f t="shared" si="0"/>
        <v>13.368502193583335</v>
      </c>
      <c r="G20">
        <f t="shared" si="28"/>
        <v>44.523310503279738</v>
      </c>
      <c r="H20">
        <f t="shared" si="1"/>
        <v>282.72473771112635</v>
      </c>
      <c r="J20" s="40" t="s">
        <v>9</v>
      </c>
      <c r="K20">
        <v>0.82499999999999996</v>
      </c>
      <c r="L20" s="45">
        <f t="shared" si="2"/>
        <v>14.88</v>
      </c>
      <c r="M20">
        <f t="shared" si="22"/>
        <v>12.648682912170818</v>
      </c>
      <c r="N20">
        <f t="shared" si="3"/>
        <v>129.11932822242116</v>
      </c>
      <c r="O20">
        <f t="shared" si="29"/>
        <v>44.523310503279738</v>
      </c>
      <c r="P20">
        <f t="shared" si="4"/>
        <v>2730.6894726503301</v>
      </c>
      <c r="R20" s="41" t="s">
        <v>111</v>
      </c>
      <c r="S20">
        <v>0.34</v>
      </c>
      <c r="T20" s="45">
        <f t="shared" si="5"/>
        <v>34.223999999999997</v>
      </c>
      <c r="U20">
        <f t="shared" si="23"/>
        <v>28.406612181678351</v>
      </c>
      <c r="V20">
        <f t="shared" si="6"/>
        <v>608.54054685194808</v>
      </c>
      <c r="W20">
        <f t="shared" si="30"/>
        <v>44.523310503279738</v>
      </c>
      <c r="X20">
        <f t="shared" si="7"/>
        <v>12869.763867629343</v>
      </c>
      <c r="Z20" s="40" t="s">
        <v>31</v>
      </c>
      <c r="AA20">
        <v>0.67500000000000004</v>
      </c>
      <c r="AB20" s="45">
        <f t="shared" si="31"/>
        <v>20.45790573089565</v>
      </c>
      <c r="AC20">
        <f t="shared" si="34"/>
        <v>15</v>
      </c>
      <c r="AD20">
        <f t="shared" si="8"/>
        <v>233.38966743936277</v>
      </c>
      <c r="AE20">
        <f t="shared" si="32"/>
        <v>44.523310503279738</v>
      </c>
      <c r="AF20">
        <f t="shared" si="25"/>
        <v>4935.8583000384742</v>
      </c>
      <c r="AH20" s="41" t="s">
        <v>122</v>
      </c>
      <c r="AI20">
        <v>0.49</v>
      </c>
      <c r="AJ20" s="45">
        <f t="shared" si="9"/>
        <v>14.88</v>
      </c>
      <c r="AK20">
        <f t="shared" si="26"/>
        <v>12.648682912170818</v>
      </c>
      <c r="AL20">
        <f t="shared" si="10"/>
        <v>77.653954724395717</v>
      </c>
      <c r="AM20">
        <f t="shared" si="33"/>
        <v>44.523310503279738</v>
      </c>
      <c r="AN20">
        <f t="shared" si="11"/>
        <v>1642.2702905509011</v>
      </c>
      <c r="AQ20">
        <f t="shared" si="27"/>
        <v>12.800000000000002</v>
      </c>
      <c r="AR20">
        <f t="shared" si="12"/>
        <v>46.976000000000006</v>
      </c>
      <c r="AS20">
        <f t="shared" si="13"/>
        <v>82.432995473689232</v>
      </c>
      <c r="AT20">
        <f t="shared" si="14"/>
        <v>19.371753936316967</v>
      </c>
      <c r="AU20">
        <f t="shared" si="15"/>
        <v>101.8047494100062</v>
      </c>
      <c r="AV20">
        <f t="shared" si="16"/>
        <v>148.78074941000619</v>
      </c>
      <c r="BA20">
        <f t="shared" si="17"/>
        <v>222.61655251639868</v>
      </c>
      <c r="BB20">
        <f t="shared" si="18"/>
        <v>18.078781146179129</v>
      </c>
      <c r="BC20">
        <f t="shared" si="19"/>
        <v>18.078781146179129</v>
      </c>
    </row>
    <row r="21" spans="1:55">
      <c r="A21" s="39">
        <v>17</v>
      </c>
      <c r="B21" s="41" t="s">
        <v>106</v>
      </c>
      <c r="C21">
        <v>0.88100000000000001</v>
      </c>
      <c r="D21" s="45">
        <f t="shared" si="20"/>
        <v>6.3240000000000007</v>
      </c>
      <c r="E21">
        <f t="shared" si="21"/>
        <v>7.5342146719757022</v>
      </c>
      <c r="F21">
        <f t="shared" si="0"/>
        <v>15.625601439674639</v>
      </c>
      <c r="G21">
        <f t="shared" si="28"/>
        <v>44.300693950763339</v>
      </c>
      <c r="H21">
        <f t="shared" si="1"/>
        <v>328.80686890842577</v>
      </c>
      <c r="J21" s="40" t="s">
        <v>9</v>
      </c>
      <c r="K21">
        <v>0.82499999999999996</v>
      </c>
      <c r="L21" s="45">
        <f t="shared" si="2"/>
        <v>15.81</v>
      </c>
      <c r="M21">
        <f t="shared" si="22"/>
        <v>13.096854516159084</v>
      </c>
      <c r="N21">
        <f t="shared" si="3"/>
        <v>150.36408758062223</v>
      </c>
      <c r="O21">
        <f t="shared" si="29"/>
        <v>44.300693950763339</v>
      </c>
      <c r="P21">
        <f t="shared" si="4"/>
        <v>3164.0858769200868</v>
      </c>
      <c r="R21" s="41" t="s">
        <v>111</v>
      </c>
      <c r="S21">
        <v>0.34</v>
      </c>
      <c r="T21" s="45">
        <f t="shared" si="5"/>
        <v>36.363</v>
      </c>
      <c r="U21">
        <f t="shared" si="23"/>
        <v>29.308620788856356</v>
      </c>
      <c r="V21">
        <f t="shared" si="6"/>
        <v>706.20977720101848</v>
      </c>
      <c r="W21">
        <f t="shared" si="30"/>
        <v>44.300693950763339</v>
      </c>
      <c r="X21">
        <f t="shared" si="7"/>
        <v>14860.652022289065</v>
      </c>
      <c r="Z21" s="40" t="s">
        <v>31</v>
      </c>
      <c r="AA21">
        <v>0.67500000000000004</v>
      </c>
      <c r="AB21" s="45">
        <f t="shared" si="31"/>
        <v>21.041335266393169</v>
      </c>
      <c r="AC21">
        <f t="shared" si="34"/>
        <v>15</v>
      </c>
      <c r="AD21">
        <f t="shared" si="8"/>
        <v>246.55833567535828</v>
      </c>
      <c r="AE21">
        <f t="shared" si="32"/>
        <v>44.300693950763339</v>
      </c>
      <c r="AF21">
        <f t="shared" si="25"/>
        <v>5188.2850506377199</v>
      </c>
      <c r="AH21" s="41" t="s">
        <v>122</v>
      </c>
      <c r="AI21">
        <v>0.49</v>
      </c>
      <c r="AJ21" s="45">
        <f t="shared" si="9"/>
        <v>15.81</v>
      </c>
      <c r="AK21">
        <f t="shared" si="26"/>
        <v>13.096854516159084</v>
      </c>
      <c r="AL21">
        <f t="shared" si="10"/>
        <v>90.430814734777698</v>
      </c>
      <c r="AM21">
        <f t="shared" si="33"/>
        <v>44.300693950763339</v>
      </c>
      <c r="AN21">
        <f t="shared" si="11"/>
        <v>1902.9202274596939</v>
      </c>
      <c r="AQ21">
        <f t="shared" si="27"/>
        <v>13.600000000000003</v>
      </c>
      <c r="AR21">
        <f t="shared" si="12"/>
        <v>49.912000000000013</v>
      </c>
      <c r="AS21">
        <f t="shared" si="13"/>
        <v>93.382232669609024</v>
      </c>
      <c r="AT21">
        <f t="shared" si="14"/>
        <v>21.94482467735812</v>
      </c>
      <c r="AU21">
        <f t="shared" si="15"/>
        <v>115.32705734696714</v>
      </c>
      <c r="AV21">
        <f t="shared" si="16"/>
        <v>165.23905734696714</v>
      </c>
      <c r="BA21">
        <f t="shared" si="17"/>
        <v>221.50346975381669</v>
      </c>
      <c r="BB21">
        <f t="shared" si="18"/>
        <v>19.069667053278636</v>
      </c>
      <c r="BC21">
        <f t="shared" si="19"/>
        <v>19.069667053278636</v>
      </c>
    </row>
    <row r="22" spans="1:55">
      <c r="A22" s="39">
        <v>18</v>
      </c>
      <c r="B22" s="41" t="s">
        <v>106</v>
      </c>
      <c r="C22">
        <v>0.88100000000000001</v>
      </c>
      <c r="D22" s="45">
        <f t="shared" si="20"/>
        <v>6.6960000000000006</v>
      </c>
      <c r="E22">
        <f t="shared" si="21"/>
        <v>7.8116432153777851</v>
      </c>
      <c r="F22">
        <f t="shared" si="0"/>
        <v>18.097554001825131</v>
      </c>
      <c r="G22">
        <f t="shared" si="28"/>
        <v>44.079190481009519</v>
      </c>
      <c r="H22">
        <f t="shared" si="1"/>
        <v>378.91962679123287</v>
      </c>
      <c r="J22" s="40" t="s">
        <v>9</v>
      </c>
      <c r="K22">
        <v>0.82499999999999996</v>
      </c>
      <c r="L22" s="45">
        <f t="shared" si="2"/>
        <v>16.740000000000002</v>
      </c>
      <c r="M22">
        <f t="shared" si="22"/>
        <v>13.53083848856452</v>
      </c>
      <c r="N22">
        <f t="shared" si="3"/>
        <v>173.54722774118568</v>
      </c>
      <c r="O22">
        <f t="shared" si="29"/>
        <v>44.079190481009519</v>
      </c>
      <c r="P22">
        <f t="shared" si="4"/>
        <v>3633.6651218010597</v>
      </c>
      <c r="R22" s="41" t="s">
        <v>111</v>
      </c>
      <c r="S22">
        <v>0.34</v>
      </c>
      <c r="T22" s="45">
        <f t="shared" si="5"/>
        <v>38.502000000000002</v>
      </c>
      <c r="U22">
        <f t="shared" si="23"/>
        <v>30</v>
      </c>
      <c r="V22">
        <f t="shared" si="6"/>
        <v>807.74115917312599</v>
      </c>
      <c r="W22">
        <f t="shared" si="30"/>
        <v>44.079190481009519</v>
      </c>
      <c r="X22">
        <f t="shared" si="7"/>
        <v>16912.173796908231</v>
      </c>
      <c r="Z22" s="40" t="s">
        <v>31</v>
      </c>
      <c r="AA22">
        <v>0.67500000000000004</v>
      </c>
      <c r="AB22" s="45">
        <f t="shared" si="31"/>
        <v>21.591407264159848</v>
      </c>
      <c r="AC22">
        <f t="shared" si="34"/>
        <v>15</v>
      </c>
      <c r="AD22">
        <f t="shared" si="8"/>
        <v>259.29672310718399</v>
      </c>
      <c r="AE22">
        <f t="shared" si="32"/>
        <v>44.079190481009519</v>
      </c>
      <c r="AF22">
        <f t="shared" si="25"/>
        <v>5429.0550832479939</v>
      </c>
      <c r="AH22" s="41" t="s">
        <v>122</v>
      </c>
      <c r="AI22">
        <v>0.49</v>
      </c>
      <c r="AJ22" s="45">
        <f t="shared" si="9"/>
        <v>16.740000000000002</v>
      </c>
      <c r="AK22">
        <f t="shared" si="26"/>
        <v>13.53083848856452</v>
      </c>
      <c r="AL22">
        <f t="shared" si="10"/>
        <v>104.37344084027131</v>
      </c>
      <c r="AM22">
        <f t="shared" si="33"/>
        <v>44.079190481009519</v>
      </c>
      <c r="AN22">
        <f t="shared" si="11"/>
        <v>2185.330970479431</v>
      </c>
      <c r="AQ22">
        <f t="shared" si="27"/>
        <v>14.400000000000004</v>
      </c>
      <c r="AR22">
        <f t="shared" si="12"/>
        <v>52.848000000000013</v>
      </c>
      <c r="AS22">
        <f t="shared" si="13"/>
        <v>104.73866067916657</v>
      </c>
      <c r="AT22">
        <f t="shared" si="14"/>
        <v>24.613585259604143</v>
      </c>
      <c r="AU22">
        <f t="shared" si="15"/>
        <v>129.35224593877072</v>
      </c>
      <c r="AV22">
        <f t="shared" si="16"/>
        <v>182.20024593877073</v>
      </c>
      <c r="BA22">
        <f t="shared" si="17"/>
        <v>220.39595240504758</v>
      </c>
      <c r="BB22">
        <f t="shared" si="18"/>
        <v>20.053881452831973</v>
      </c>
      <c r="BC22">
        <f t="shared" si="19"/>
        <v>20.053881452831973</v>
      </c>
    </row>
    <row r="23" spans="1:55">
      <c r="A23" s="39">
        <v>19</v>
      </c>
      <c r="B23" s="41" t="s">
        <v>106</v>
      </c>
      <c r="C23">
        <v>0.88100000000000001</v>
      </c>
      <c r="D23" s="45">
        <f t="shared" si="20"/>
        <v>7.0680000000000005</v>
      </c>
      <c r="E23">
        <f t="shared" si="21"/>
        <v>8.0818111525406628</v>
      </c>
      <c r="F23">
        <f t="shared" si="0"/>
        <v>20.790593535622783</v>
      </c>
      <c r="G23">
        <f t="shared" si="28"/>
        <v>43.85879452860447</v>
      </c>
      <c r="H23">
        <f t="shared" si="1"/>
        <v>433.12892575314066</v>
      </c>
      <c r="J23" s="40" t="s">
        <v>9</v>
      </c>
      <c r="K23">
        <v>0.82499999999999996</v>
      </c>
      <c r="L23" s="45">
        <f t="shared" si="2"/>
        <v>17.670000000000002</v>
      </c>
      <c r="M23">
        <f t="shared" si="22"/>
        <v>13.951726501738136</v>
      </c>
      <c r="N23">
        <f t="shared" si="3"/>
        <v>198.71778874623595</v>
      </c>
      <c r="O23">
        <f t="shared" si="29"/>
        <v>43.85879452860447</v>
      </c>
      <c r="P23">
        <f t="shared" si="4"/>
        <v>4139.873266254901</v>
      </c>
      <c r="R23" s="41" t="s">
        <v>111</v>
      </c>
      <c r="S23">
        <v>0.34</v>
      </c>
      <c r="T23" s="45">
        <f t="shared" si="5"/>
        <v>40.640999999999998</v>
      </c>
      <c r="U23">
        <f t="shared" si="23"/>
        <v>30</v>
      </c>
      <c r="V23">
        <f t="shared" si="6"/>
        <v>897.65057291953497</v>
      </c>
      <c r="W23">
        <f t="shared" si="30"/>
        <v>43.85879452860447</v>
      </c>
      <c r="X23">
        <f t="shared" si="7"/>
        <v>18700.689217176936</v>
      </c>
      <c r="Z23" s="40" t="s">
        <v>31</v>
      </c>
      <c r="AA23">
        <v>0.67500000000000004</v>
      </c>
      <c r="AB23" s="45">
        <f t="shared" si="31"/>
        <v>22.111730737465329</v>
      </c>
      <c r="AC23">
        <f t="shared" si="34"/>
        <v>15</v>
      </c>
      <c r="AD23">
        <f t="shared" si="8"/>
        <v>271.634043360193</v>
      </c>
      <c r="AE23">
        <f t="shared" si="32"/>
        <v>43.85879452860447</v>
      </c>
      <c r="AF23">
        <f t="shared" si="25"/>
        <v>5658.9323049866516</v>
      </c>
      <c r="AH23" s="41" t="s">
        <v>122</v>
      </c>
      <c r="AI23">
        <v>0.49</v>
      </c>
      <c r="AJ23" s="45">
        <f t="shared" si="9"/>
        <v>17.670000000000002</v>
      </c>
      <c r="AK23">
        <f t="shared" si="26"/>
        <v>13.951726501738136</v>
      </c>
      <c r="AL23">
        <f t="shared" si="10"/>
        <v>119.51132632637631</v>
      </c>
      <c r="AM23">
        <f t="shared" si="33"/>
        <v>43.85879452860447</v>
      </c>
      <c r="AN23">
        <f t="shared" si="11"/>
        <v>2489.7707849650296</v>
      </c>
      <c r="AQ23">
        <f t="shared" si="27"/>
        <v>15.200000000000005</v>
      </c>
      <c r="AR23">
        <f t="shared" si="12"/>
        <v>55.784000000000013</v>
      </c>
      <c r="AS23">
        <f t="shared" si="13"/>
        <v>115.32018781183152</v>
      </c>
      <c r="AT23">
        <f t="shared" si="14"/>
        <v>27.100244135780404</v>
      </c>
      <c r="AU23">
        <f t="shared" si="15"/>
        <v>142.42043194761192</v>
      </c>
      <c r="AV23">
        <f t="shared" si="16"/>
        <v>198.20443194761194</v>
      </c>
      <c r="BA23">
        <f t="shared" si="17"/>
        <v>219.29397264302236</v>
      </c>
      <c r="BB23">
        <f t="shared" si="18"/>
        <v>21.032146147493066</v>
      </c>
      <c r="BC23">
        <f t="shared" si="19"/>
        <v>21.032146147493066</v>
      </c>
    </row>
    <row r="24" spans="1:55">
      <c r="A24" s="39">
        <v>20</v>
      </c>
      <c r="B24" s="41" t="s">
        <v>106</v>
      </c>
      <c r="C24">
        <v>0.88100000000000001</v>
      </c>
      <c r="D24" s="45">
        <f t="shared" si="20"/>
        <v>7.44</v>
      </c>
      <c r="E24">
        <f t="shared" si="21"/>
        <v>8.3452165344823772</v>
      </c>
      <c r="F24">
        <f t="shared" si="0"/>
        <v>23.710735629378988</v>
      </c>
      <c r="G24">
        <f t="shared" si="28"/>
        <v>43.639500555961448</v>
      </c>
      <c r="H24">
        <f t="shared" si="1"/>
        <v>491.49421382325613</v>
      </c>
      <c r="J24" s="40" t="s">
        <v>9</v>
      </c>
      <c r="K24">
        <v>0.82499999999999996</v>
      </c>
      <c r="L24" s="45">
        <f t="shared" si="2"/>
        <v>18.600000000000001</v>
      </c>
      <c r="M24">
        <f t="shared" si="22"/>
        <v>14.360477254040015</v>
      </c>
      <c r="N24">
        <f t="shared" si="3"/>
        <v>225.92287475532757</v>
      </c>
      <c r="O24">
        <f t="shared" si="29"/>
        <v>43.639500555961448</v>
      </c>
      <c r="P24">
        <f t="shared" si="4"/>
        <v>4683.1016737825248</v>
      </c>
      <c r="R24" s="41" t="s">
        <v>111</v>
      </c>
      <c r="S24">
        <v>0.34</v>
      </c>
      <c r="T24" s="45">
        <f t="shared" si="5"/>
        <v>42.78</v>
      </c>
      <c r="U24">
        <f t="shared" si="23"/>
        <v>30</v>
      </c>
      <c r="V24">
        <f t="shared" si="6"/>
        <v>992.18083716958711</v>
      </c>
      <c r="W24">
        <f t="shared" si="30"/>
        <v>43.639500555961448</v>
      </c>
      <c r="X24">
        <f t="shared" si="7"/>
        <v>20566.681192756332</v>
      </c>
      <c r="Z24" s="40" t="s">
        <v>31</v>
      </c>
      <c r="AA24">
        <v>0.67500000000000004</v>
      </c>
      <c r="AB24" s="45">
        <f t="shared" si="31"/>
        <v>22.60535893706513</v>
      </c>
      <c r="AC24">
        <f t="shared" si="34"/>
        <v>15</v>
      </c>
      <c r="AD24">
        <f t="shared" si="8"/>
        <v>283.59677148281878</v>
      </c>
      <c r="AE24">
        <f t="shared" si="32"/>
        <v>43.639500555961448</v>
      </c>
      <c r="AF24">
        <f t="shared" si="25"/>
        <v>5878.6101967268369</v>
      </c>
      <c r="AH24" s="41" t="s">
        <v>122</v>
      </c>
      <c r="AI24">
        <v>0.49</v>
      </c>
      <c r="AJ24" s="45">
        <f t="shared" si="9"/>
        <v>18.600000000000001</v>
      </c>
      <c r="AK24">
        <f t="shared" si="26"/>
        <v>14.360477254040015</v>
      </c>
      <c r="AL24">
        <f t="shared" si="10"/>
        <v>135.8728002149652</v>
      </c>
      <c r="AM24">
        <f t="shared" si="33"/>
        <v>43.639500555961448</v>
      </c>
      <c r="AN24">
        <f t="shared" si="11"/>
        <v>2816.4750417474806</v>
      </c>
      <c r="AQ24">
        <f t="shared" si="27"/>
        <v>16.000000000000004</v>
      </c>
      <c r="AR24">
        <f t="shared" si="12"/>
        <v>58.720000000000013</v>
      </c>
      <c r="AS24">
        <f t="shared" si="13"/>
        <v>126.38144971012969</v>
      </c>
      <c r="AT24">
        <f t="shared" si="14"/>
        <v>29.699640681880474</v>
      </c>
      <c r="AU24">
        <f t="shared" si="15"/>
        <v>156.08109039201017</v>
      </c>
      <c r="AV24">
        <f t="shared" si="16"/>
        <v>214.80109039201017</v>
      </c>
      <c r="BA24">
        <f t="shared" si="17"/>
        <v>218.19750277980722</v>
      </c>
      <c r="BB24" s="30">
        <f t="shared" si="18"/>
        <v>22.005071787413026</v>
      </c>
      <c r="BC24" s="30">
        <f t="shared" si="19"/>
        <v>22.00507178741303</v>
      </c>
    </row>
    <row r="25" spans="1:55">
      <c r="A25" s="39">
        <v>21</v>
      </c>
      <c r="B25" s="41" t="s">
        <v>106</v>
      </c>
      <c r="C25">
        <v>0.88100000000000001</v>
      </c>
      <c r="D25" s="45">
        <f t="shared" si="20"/>
        <v>7.8120000000000012</v>
      </c>
      <c r="E25">
        <f t="shared" si="21"/>
        <v>8.6023019416486282</v>
      </c>
      <c r="F25">
        <f t="shared" si="0"/>
        <v>26.863794878005294</v>
      </c>
      <c r="G25">
        <f t="shared" si="28"/>
        <v>43.421303053181639</v>
      </c>
      <c r="H25">
        <f t="shared" si="1"/>
        <v>554.06896481427884</v>
      </c>
      <c r="J25" s="40" t="s">
        <v>9</v>
      </c>
      <c r="K25">
        <v>0.82499999999999996</v>
      </c>
      <c r="L25" s="45">
        <f t="shared" si="2"/>
        <v>19.53</v>
      </c>
      <c r="M25">
        <f t="shared" si="22"/>
        <v>14.757938216721252</v>
      </c>
      <c r="N25">
        <f t="shared" si="3"/>
        <v>255.20781441122642</v>
      </c>
      <c r="O25">
        <f t="shared" si="29"/>
        <v>43.421303053181639</v>
      </c>
      <c r="P25">
        <f t="shared" si="4"/>
        <v>5263.6915292677495</v>
      </c>
      <c r="R25" s="41" t="s">
        <v>111</v>
      </c>
      <c r="S25">
        <v>0.34</v>
      </c>
      <c r="T25" s="45">
        <f t="shared" si="5"/>
        <v>44.918999999999997</v>
      </c>
      <c r="U25">
        <f t="shared" si="23"/>
        <v>30</v>
      </c>
      <c r="V25">
        <f t="shared" si="6"/>
        <v>1091.3205837977491</v>
      </c>
      <c r="W25">
        <f t="shared" si="30"/>
        <v>43.421303053181639</v>
      </c>
      <c r="X25">
        <f t="shared" si="7"/>
        <v>22508.616853697156</v>
      </c>
      <c r="Z25" s="40" t="s">
        <v>31</v>
      </c>
      <c r="AA25">
        <v>0.67500000000000004</v>
      </c>
      <c r="AB25" s="45">
        <f t="shared" si="31"/>
        <v>23.074897912572649</v>
      </c>
      <c r="AC25">
        <f t="shared" si="34"/>
        <v>15</v>
      </c>
      <c r="AD25">
        <f t="shared" si="8"/>
        <v>295.20892419862867</v>
      </c>
      <c r="AE25">
        <f t="shared" si="32"/>
        <v>43.421303053181639</v>
      </c>
      <c r="AF25">
        <f t="shared" si="25"/>
        <v>6088.7191767753811</v>
      </c>
      <c r="AH25" s="41" t="s">
        <v>122</v>
      </c>
      <c r="AI25">
        <v>0.49</v>
      </c>
      <c r="AJ25" s="45">
        <f t="shared" si="9"/>
        <v>19.53</v>
      </c>
      <c r="AK25">
        <f t="shared" si="26"/>
        <v>14.757938216721252</v>
      </c>
      <c r="AL25">
        <f t="shared" si="10"/>
        <v>153.48512371023975</v>
      </c>
      <c r="AM25">
        <f t="shared" si="33"/>
        <v>43.421303053181639</v>
      </c>
      <c r="AN25">
        <f t="shared" si="11"/>
        <v>3165.6489336192622</v>
      </c>
      <c r="AQ25">
        <f t="shared" si="27"/>
        <v>16.800000000000004</v>
      </c>
      <c r="AR25">
        <f t="shared" si="12"/>
        <v>61.656000000000013</v>
      </c>
      <c r="AS25">
        <f t="shared" si="13"/>
        <v>137.92133583149794</v>
      </c>
      <c r="AT25">
        <f t="shared" si="14"/>
        <v>32.411513920402015</v>
      </c>
      <c r="AU25">
        <f t="shared" si="15"/>
        <v>170.33284975189997</v>
      </c>
      <c r="AV25">
        <f t="shared" si="16"/>
        <v>231.98884975189998</v>
      </c>
      <c r="BA25">
        <f t="shared" si="17"/>
        <v>217.1065152659082</v>
      </c>
      <c r="BB25">
        <f t="shared" si="18"/>
        <v>22.973179582514529</v>
      </c>
      <c r="BC25">
        <f t="shared" si="19"/>
        <v>22.973179582514529</v>
      </c>
    </row>
    <row r="26" spans="1:55">
      <c r="A26" s="39">
        <v>22</v>
      </c>
      <c r="B26" s="41" t="s">
        <v>106</v>
      </c>
      <c r="C26">
        <v>0.88100000000000001</v>
      </c>
      <c r="D26" s="45">
        <f t="shared" si="20"/>
        <v>8.1840000000000011</v>
      </c>
      <c r="E26">
        <f t="shared" si="21"/>
        <v>8.8534628869504211</v>
      </c>
      <c r="F26">
        <f t="shared" si="0"/>
        <v>30.255399890044405</v>
      </c>
      <c r="G26">
        <f t="shared" si="28"/>
        <v>43.204196537915728</v>
      </c>
      <c r="H26">
        <f t="shared" si="1"/>
        <v>620.90111551178836</v>
      </c>
      <c r="J26" s="40" t="s">
        <v>9</v>
      </c>
      <c r="K26">
        <v>0.82499999999999996</v>
      </c>
      <c r="L26" s="45">
        <f t="shared" si="2"/>
        <v>20.46</v>
      </c>
      <c r="M26">
        <f t="shared" si="22"/>
        <v>15</v>
      </c>
      <c r="N26">
        <f t="shared" si="3"/>
        <v>283.94025981282613</v>
      </c>
      <c r="O26">
        <f t="shared" si="29"/>
        <v>43.204196537915728</v>
      </c>
      <c r="P26">
        <f t="shared" si="4"/>
        <v>5827.0201252405923</v>
      </c>
      <c r="R26" s="41" t="s">
        <v>111</v>
      </c>
      <c r="S26">
        <v>0.34</v>
      </c>
      <c r="T26" s="45">
        <f t="shared" si="5"/>
        <v>47.058</v>
      </c>
      <c r="U26">
        <f t="shared" si="23"/>
        <v>30</v>
      </c>
      <c r="V26">
        <f t="shared" si="6"/>
        <v>1195.0590258744487</v>
      </c>
      <c r="W26">
        <f t="shared" si="30"/>
        <v>43.204196537915728</v>
      </c>
      <c r="X26">
        <f t="shared" si="7"/>
        <v>24524.993388437651</v>
      </c>
      <c r="Z26" s="40" t="s">
        <v>31</v>
      </c>
      <c r="AA26">
        <v>0.67500000000000004</v>
      </c>
      <c r="AB26" s="45">
        <f t="shared" si="31"/>
        <v>23.522589795837231</v>
      </c>
      <c r="AC26">
        <f t="shared" si="34"/>
        <v>15</v>
      </c>
      <c r="AD26">
        <f t="shared" si="8"/>
        <v>306.49232176019245</v>
      </c>
      <c r="AE26">
        <f t="shared" si="32"/>
        <v>43.204196537915728</v>
      </c>
      <c r="AF26">
        <f t="shared" si="25"/>
        <v>6289.8333906774933</v>
      </c>
      <c r="AH26" s="41" t="s">
        <v>122</v>
      </c>
      <c r="AI26">
        <v>0.49</v>
      </c>
      <c r="AJ26" s="45">
        <f t="shared" si="9"/>
        <v>20.46</v>
      </c>
      <c r="AK26">
        <f t="shared" si="26"/>
        <v>15.144862989408429</v>
      </c>
      <c r="AL26">
        <f t="shared" si="10"/>
        <v>172.37457454960551</v>
      </c>
      <c r="AM26">
        <f t="shared" si="33"/>
        <v>43.204196537915728</v>
      </c>
      <c r="AN26">
        <f t="shared" si="11"/>
        <v>3537.4698735658621</v>
      </c>
      <c r="AQ26">
        <f t="shared" si="27"/>
        <v>17.600000000000005</v>
      </c>
      <c r="AR26">
        <f t="shared" si="12"/>
        <v>64.592000000000013</v>
      </c>
      <c r="AS26">
        <f t="shared" si="13"/>
        <v>149.73679966890052</v>
      </c>
      <c r="AT26">
        <f t="shared" si="14"/>
        <v>35.188147922191618</v>
      </c>
      <c r="AU26">
        <f t="shared" si="15"/>
        <v>184.92494759109212</v>
      </c>
      <c r="AV26">
        <f t="shared" si="16"/>
        <v>249.51694759109213</v>
      </c>
      <c r="BA26">
        <f t="shared" si="17"/>
        <v>216.02098268957863</v>
      </c>
      <c r="BB26">
        <f t="shared" si="18"/>
        <v>23.936917959167449</v>
      </c>
      <c r="BC26">
        <f t="shared" si="19"/>
        <v>23.936917959167449</v>
      </c>
    </row>
    <row r="27" spans="1:55">
      <c r="A27" s="39">
        <v>23</v>
      </c>
      <c r="B27" s="41" t="s">
        <v>106</v>
      </c>
      <c r="C27">
        <v>0.88100000000000001</v>
      </c>
      <c r="D27" s="45">
        <f t="shared" si="20"/>
        <v>8.5560000000000009</v>
      </c>
      <c r="E27">
        <f t="shared" si="21"/>
        <v>9.0990546340281195</v>
      </c>
      <c r="F27">
        <f t="shared" si="0"/>
        <v>33.891006560556306</v>
      </c>
      <c r="G27">
        <f t="shared" si="28"/>
        <v>42.98817555522615</v>
      </c>
      <c r="H27">
        <f t="shared" si="1"/>
        <v>692.03345639004488</v>
      </c>
      <c r="J27" s="40" t="s">
        <v>9</v>
      </c>
      <c r="K27">
        <v>0.82499999999999996</v>
      </c>
      <c r="L27" s="45">
        <f t="shared" si="2"/>
        <v>21.39</v>
      </c>
      <c r="M27">
        <f t="shared" si="22"/>
        <v>15</v>
      </c>
      <c r="N27">
        <f t="shared" si="3"/>
        <v>309.67820309664239</v>
      </c>
      <c r="O27">
        <f t="shared" si="29"/>
        <v>42.98817555522615</v>
      </c>
      <c r="P27">
        <f t="shared" si="4"/>
        <v>6323.4379561640844</v>
      </c>
      <c r="R27" s="41" t="s">
        <v>111</v>
      </c>
      <c r="S27">
        <v>0.34</v>
      </c>
      <c r="T27" s="45">
        <f t="shared" si="5"/>
        <v>49.197000000000003</v>
      </c>
      <c r="U27">
        <f t="shared" si="23"/>
        <v>30</v>
      </c>
      <c r="V27">
        <f t="shared" si="6"/>
        <v>1303.3859022710749</v>
      </c>
      <c r="W27">
        <f t="shared" si="30"/>
        <v>42.98817555522615</v>
      </c>
      <c r="X27">
        <f t="shared" si="7"/>
        <v>26614.336441942003</v>
      </c>
      <c r="Z27" s="40" t="s">
        <v>31</v>
      </c>
      <c r="AA27">
        <v>0.67500000000000004</v>
      </c>
      <c r="AB27" s="45">
        <f t="shared" si="31"/>
        <v>23.95037755618441</v>
      </c>
      <c r="AC27">
        <f t="shared" si="34"/>
        <v>15</v>
      </c>
      <c r="AD27">
        <f t="shared" si="8"/>
        <v>317.46682601663952</v>
      </c>
      <c r="AE27">
        <f t="shared" si="32"/>
        <v>42.98817555522615</v>
      </c>
      <c r="AF27">
        <f t="shared" si="25"/>
        <v>6482.4768336377747</v>
      </c>
      <c r="AH27" s="41" t="s">
        <v>122</v>
      </c>
      <c r="AI27">
        <v>0.49</v>
      </c>
      <c r="AJ27" s="45">
        <f t="shared" si="9"/>
        <v>21.39</v>
      </c>
      <c r="AK27">
        <f t="shared" si="26"/>
        <v>15.521925305780961</v>
      </c>
      <c r="AL27">
        <f t="shared" si="10"/>
        <v>192.56652125642114</v>
      </c>
      <c r="AM27">
        <f t="shared" si="33"/>
        <v>42.98817555522615</v>
      </c>
      <c r="AN27">
        <f t="shared" si="11"/>
        <v>3932.0896253693545</v>
      </c>
      <c r="AQ27">
        <f t="shared" si="27"/>
        <v>18.400000000000006</v>
      </c>
      <c r="AR27">
        <f t="shared" si="12"/>
        <v>67.52800000000002</v>
      </c>
      <c r="AS27">
        <f t="shared" si="13"/>
        <v>161.64285373055696</v>
      </c>
      <c r="AT27">
        <f t="shared" si="14"/>
        <v>37.986070626680885</v>
      </c>
      <c r="AU27">
        <f t="shared" si="15"/>
        <v>199.62892435723785</v>
      </c>
      <c r="AV27">
        <f t="shared" si="16"/>
        <v>267.15692435723787</v>
      </c>
      <c r="BA27">
        <f t="shared" si="17"/>
        <v>214.94087777613075</v>
      </c>
      <c r="BB27">
        <f t="shared" si="18"/>
        <v>24.896675511236882</v>
      </c>
      <c r="BC27">
        <f t="shared" si="19"/>
        <v>24.896675511236882</v>
      </c>
    </row>
    <row r="28" spans="1:55">
      <c r="A28" s="39">
        <v>24</v>
      </c>
      <c r="B28" s="41" t="s">
        <v>106</v>
      </c>
      <c r="C28">
        <v>0.88100000000000001</v>
      </c>
      <c r="D28" s="45">
        <f t="shared" si="20"/>
        <v>8.9280000000000026</v>
      </c>
      <c r="E28">
        <f t="shared" si="21"/>
        <v>9.3393977838929612</v>
      </c>
      <c r="F28">
        <f t="shared" si="0"/>
        <v>37.775909876734268</v>
      </c>
      <c r="G28">
        <f t="shared" si="28"/>
        <v>42.77323467745002</v>
      </c>
      <c r="H28">
        <f t="shared" si="1"/>
        <v>767.50398269808454</v>
      </c>
      <c r="J28" s="40" t="s">
        <v>9</v>
      </c>
      <c r="K28">
        <v>0.82499999999999996</v>
      </c>
      <c r="L28" s="45">
        <f t="shared" si="2"/>
        <v>22.32</v>
      </c>
      <c r="M28">
        <f t="shared" si="22"/>
        <v>15</v>
      </c>
      <c r="N28">
        <f t="shared" si="3"/>
        <v>336.50401179750594</v>
      </c>
      <c r="O28">
        <f t="shared" si="29"/>
        <v>42.77323467745002</v>
      </c>
      <c r="P28">
        <f t="shared" si="4"/>
        <v>6836.848406596112</v>
      </c>
      <c r="R28" s="41" t="s">
        <v>111</v>
      </c>
      <c r="S28">
        <v>0.34</v>
      </c>
      <c r="T28" s="45">
        <f t="shared" si="5"/>
        <v>51.335999999999999</v>
      </c>
      <c r="U28">
        <f t="shared" si="23"/>
        <v>30</v>
      </c>
      <c r="V28">
        <f t="shared" si="6"/>
        <v>1416.2914297770417</v>
      </c>
      <c r="W28">
        <f t="shared" si="30"/>
        <v>42.77323467745002</v>
      </c>
      <c r="X28">
        <f t="shared" si="7"/>
        <v>28775.198706319447</v>
      </c>
      <c r="Z28" s="40" t="s">
        <v>31</v>
      </c>
      <c r="AA28">
        <v>0.67500000000000004</v>
      </c>
      <c r="AB28" s="45">
        <f t="shared" si="31"/>
        <v>24.359955963889707</v>
      </c>
      <c r="AC28">
        <f t="shared" si="34"/>
        <v>15</v>
      </c>
      <c r="AD28">
        <f t="shared" si="8"/>
        <v>328.15055351727852</v>
      </c>
      <c r="AE28">
        <f t="shared" si="32"/>
        <v>42.77323467745002</v>
      </c>
      <c r="AF28">
        <f t="shared" si="25"/>
        <v>6667.1288016865956</v>
      </c>
      <c r="AH28" s="41" t="s">
        <v>122</v>
      </c>
      <c r="AI28">
        <v>0.49</v>
      </c>
      <c r="AJ28" s="45">
        <f t="shared" si="9"/>
        <v>22.32</v>
      </c>
      <c r="AK28">
        <f t="shared" si="26"/>
        <v>15.889730450213174</v>
      </c>
      <c r="AL28">
        <f t="shared" si="10"/>
        <v>214.08548888865965</v>
      </c>
      <c r="AM28">
        <f t="shared" si="33"/>
        <v>42.77323467745002</v>
      </c>
      <c r="AN28">
        <f t="shared" si="11"/>
        <v>4349.6362072038473</v>
      </c>
      <c r="AQ28">
        <f t="shared" si="27"/>
        <v>19.200000000000006</v>
      </c>
      <c r="AR28">
        <f t="shared" si="12"/>
        <v>70.464000000000027</v>
      </c>
      <c r="AS28">
        <f t="shared" si="13"/>
        <v>173.94448010353</v>
      </c>
      <c r="AT28">
        <f t="shared" si="14"/>
        <v>40.87695282432955</v>
      </c>
      <c r="AU28">
        <f t="shared" si="15"/>
        <v>214.82143292785955</v>
      </c>
      <c r="AV28">
        <f t="shared" si="16"/>
        <v>285.28543292785957</v>
      </c>
      <c r="BA28">
        <f t="shared" si="17"/>
        <v>213.86617338725011</v>
      </c>
      <c r="BB28">
        <f t="shared" si="18"/>
        <v>25.852791192777943</v>
      </c>
      <c r="BC28">
        <f t="shared" si="19"/>
        <v>25.852791192777939</v>
      </c>
    </row>
    <row r="29" spans="1:55">
      <c r="A29" s="39">
        <v>25</v>
      </c>
      <c r="B29" s="41" t="s">
        <v>106</v>
      </c>
      <c r="C29">
        <v>0.88100000000000001</v>
      </c>
      <c r="D29" s="45">
        <f t="shared" si="20"/>
        <v>9.3000000000000007</v>
      </c>
      <c r="E29">
        <f t="shared" si="21"/>
        <v>9.5747828932343708</v>
      </c>
      <c r="F29">
        <f t="shared" si="0"/>
        <v>41.91525447256717</v>
      </c>
      <c r="G29">
        <f t="shared" si="28"/>
        <v>42.559368504062768</v>
      </c>
      <c r="H29">
        <f t="shared" si="1"/>
        <v>847.34621149378677</v>
      </c>
      <c r="J29" s="40" t="s">
        <v>9</v>
      </c>
      <c r="K29">
        <v>0.82499999999999996</v>
      </c>
      <c r="L29" s="45">
        <f t="shared" si="2"/>
        <v>23.25</v>
      </c>
      <c r="M29">
        <f t="shared" si="22"/>
        <v>15</v>
      </c>
      <c r="N29">
        <f t="shared" si="3"/>
        <v>364.415465122976</v>
      </c>
      <c r="O29">
        <f t="shared" si="29"/>
        <v>42.559368504062768</v>
      </c>
      <c r="P29">
        <f t="shared" si="4"/>
        <v>7366.91373265538</v>
      </c>
      <c r="R29" s="41" t="s">
        <v>111</v>
      </c>
      <c r="S29">
        <v>0.34</v>
      </c>
      <c r="T29" s="45">
        <f t="shared" si="5"/>
        <v>53.474999999999994</v>
      </c>
      <c r="U29">
        <f t="shared" si="23"/>
        <v>30</v>
      </c>
      <c r="V29">
        <f t="shared" si="6"/>
        <v>1533.7662614330552</v>
      </c>
      <c r="W29">
        <f t="shared" si="30"/>
        <v>42.559368504062768</v>
      </c>
      <c r="X29">
        <f t="shared" si="7"/>
        <v>31006.158671728332</v>
      </c>
      <c r="Z29" s="40" t="s">
        <v>31</v>
      </c>
      <c r="AA29">
        <v>0.67500000000000004</v>
      </c>
      <c r="AB29" s="45">
        <f t="shared" si="31"/>
        <v>24.752812143234614</v>
      </c>
      <c r="AC29">
        <f t="shared" si="34"/>
        <v>15</v>
      </c>
      <c r="AD29">
        <f t="shared" si="8"/>
        <v>338.56006457057043</v>
      </c>
      <c r="AE29">
        <f t="shared" si="32"/>
        <v>42.559368504062768</v>
      </c>
      <c r="AF29">
        <f t="shared" si="25"/>
        <v>6844.2287106886406</v>
      </c>
      <c r="AH29" s="41" t="s">
        <v>122</v>
      </c>
      <c r="AI29">
        <v>0.49</v>
      </c>
      <c r="AJ29" s="45">
        <f t="shared" si="9"/>
        <v>23.25</v>
      </c>
      <c r="AK29">
        <f t="shared" si="26"/>
        <v>16.248824649431985</v>
      </c>
      <c r="AL29">
        <f t="shared" si="10"/>
        <v>236.95521756952098</v>
      </c>
      <c r="AM29">
        <f t="shared" si="33"/>
        <v>42.559368504062768</v>
      </c>
      <c r="AN29">
        <f t="shared" si="11"/>
        <v>4790.2156011632651</v>
      </c>
      <c r="AQ29">
        <f t="shared" si="27"/>
        <v>20.000000000000007</v>
      </c>
      <c r="AR29">
        <f t="shared" si="12"/>
        <v>73.40000000000002</v>
      </c>
      <c r="AS29">
        <f t="shared" si="13"/>
        <v>186.63734694476693</v>
      </c>
      <c r="AT29">
        <f t="shared" si="14"/>
        <v>43.859776532020227</v>
      </c>
      <c r="AU29">
        <f t="shared" si="15"/>
        <v>230.49712347678715</v>
      </c>
      <c r="AV29">
        <f t="shared" si="16"/>
        <v>303.89712347678716</v>
      </c>
      <c r="BA29">
        <f t="shared" si="17"/>
        <v>212.79684252031385</v>
      </c>
      <c r="BB29" s="30">
        <f t="shared" si="18"/>
        <v>26.805562428646919</v>
      </c>
      <c r="BC29" s="30">
        <f t="shared" si="19"/>
        <v>26.805562428646923</v>
      </c>
    </row>
    <row r="30" spans="1:55">
      <c r="A30" s="39">
        <v>26</v>
      </c>
      <c r="B30" s="41" t="s">
        <v>106</v>
      </c>
      <c r="C30">
        <v>0.88100000000000001</v>
      </c>
      <c r="D30" s="45">
        <f t="shared" si="20"/>
        <v>9.6720000000000006</v>
      </c>
      <c r="E30">
        <f t="shared" si="21"/>
        <v>9.8054743233127315</v>
      </c>
      <c r="F30">
        <f t="shared" si="0"/>
        <v>46.314044109543552</v>
      </c>
      <c r="G30">
        <f t="shared" si="28"/>
        <v>42.346571661542455</v>
      </c>
      <c r="H30">
        <f t="shared" si="1"/>
        <v>931.58946921479651</v>
      </c>
      <c r="J30" s="40" t="s">
        <v>9</v>
      </c>
      <c r="K30">
        <v>0.82499999999999996</v>
      </c>
      <c r="L30" s="45">
        <f t="shared" si="2"/>
        <v>24.18</v>
      </c>
      <c r="M30">
        <f t="shared" si="22"/>
        <v>15</v>
      </c>
      <c r="N30">
        <f t="shared" si="3"/>
        <v>393.410437264596</v>
      </c>
      <c r="O30">
        <f t="shared" si="29"/>
        <v>42.346571661542455</v>
      </c>
      <c r="P30">
        <f t="shared" si="4"/>
        <v>7913.3020551613845</v>
      </c>
      <c r="R30" s="41" t="s">
        <v>111</v>
      </c>
      <c r="S30">
        <v>0.34</v>
      </c>
      <c r="T30" s="45">
        <f t="shared" si="5"/>
        <v>55.613999999999997</v>
      </c>
      <c r="U30">
        <f t="shared" si="23"/>
        <v>30</v>
      </c>
      <c r="V30">
        <f t="shared" si="6"/>
        <v>1655.8014500521788</v>
      </c>
      <c r="W30">
        <f t="shared" si="30"/>
        <v>42.346571661542455</v>
      </c>
      <c r="X30">
        <f t="shared" si="7"/>
        <v>33305.819511912232</v>
      </c>
      <c r="Z30" s="40" t="s">
        <v>31</v>
      </c>
      <c r="AA30">
        <v>0.67500000000000004</v>
      </c>
      <c r="AB30" s="45">
        <f t="shared" si="31"/>
        <v>25.13025816716506</v>
      </c>
      <c r="AC30">
        <f t="shared" si="34"/>
        <v>15</v>
      </c>
      <c r="AD30">
        <f t="shared" si="8"/>
        <v>348.71053013727311</v>
      </c>
      <c r="AE30">
        <f t="shared" si="32"/>
        <v>42.346571661542455</v>
      </c>
      <c r="AF30">
        <f t="shared" si="25"/>
        <v>7014.1803404564353</v>
      </c>
      <c r="AH30" s="41" t="s">
        <v>122</v>
      </c>
      <c r="AI30">
        <v>0.49</v>
      </c>
      <c r="AJ30" s="45">
        <f t="shared" si="9"/>
        <v>24.18</v>
      </c>
      <c r="AK30">
        <f t="shared" si="26"/>
        <v>16.599702863113926</v>
      </c>
      <c r="AL30">
        <f t="shared" si="10"/>
        <v>261.19871484763206</v>
      </c>
      <c r="AM30">
        <f t="shared" si="33"/>
        <v>42.346571661542455</v>
      </c>
      <c r="AN30">
        <f t="shared" si="11"/>
        <v>5253.9132956940712</v>
      </c>
      <c r="AQ30">
        <f t="shared" si="27"/>
        <v>20.800000000000008</v>
      </c>
      <c r="AR30">
        <f t="shared" si="12"/>
        <v>76.336000000000027</v>
      </c>
      <c r="AS30">
        <f t="shared" si="13"/>
        <v>199.71701314785085</v>
      </c>
      <c r="AT30">
        <f t="shared" si="14"/>
        <v>46.933498089744944</v>
      </c>
      <c r="AU30">
        <f t="shared" si="15"/>
        <v>246.65051123759579</v>
      </c>
      <c r="AV30">
        <f t="shared" si="16"/>
        <v>322.98651123759583</v>
      </c>
      <c r="BA30">
        <f t="shared" si="17"/>
        <v>211.73285830771226</v>
      </c>
      <c r="BB30">
        <f t="shared" si="18"/>
        <v>27.755251633433016</v>
      </c>
      <c r="BC30">
        <f t="shared" si="19"/>
        <v>27.755251633433016</v>
      </c>
    </row>
    <row r="31" spans="1:55">
      <c r="A31" s="39">
        <v>27</v>
      </c>
      <c r="B31" s="41" t="s">
        <v>106</v>
      </c>
      <c r="C31">
        <v>0.88100000000000001</v>
      </c>
      <c r="D31" s="45">
        <f t="shared" si="20"/>
        <v>10.044</v>
      </c>
      <c r="E31">
        <f t="shared" si="21"/>
        <v>10.031713471559929</v>
      </c>
      <c r="F31">
        <f t="shared" si="0"/>
        <v>50.97715022947709</v>
      </c>
      <c r="G31">
        <f t="shared" si="28"/>
        <v>42.134838803234743</v>
      </c>
      <c r="H31">
        <f t="shared" si="1"/>
        <v>1020.2591535944665</v>
      </c>
      <c r="J31" s="40" t="s">
        <v>9</v>
      </c>
      <c r="K31">
        <v>0.82499999999999996</v>
      </c>
      <c r="L31" s="45">
        <f t="shared" si="2"/>
        <v>25.110000000000003</v>
      </c>
      <c r="M31">
        <f t="shared" si="22"/>
        <v>15</v>
      </c>
      <c r="N31">
        <f t="shared" si="3"/>
        <v>423.48688976737662</v>
      </c>
      <c r="O31">
        <f t="shared" si="29"/>
        <v>42.134838803234743</v>
      </c>
      <c r="P31">
        <f t="shared" si="4"/>
        <v>8475.6871219250352</v>
      </c>
      <c r="R31" s="41" t="s">
        <v>111</v>
      </c>
      <c r="S31">
        <v>0.34</v>
      </c>
      <c r="T31" s="45">
        <f t="shared" si="5"/>
        <v>57.753</v>
      </c>
      <c r="U31">
        <f t="shared" si="23"/>
        <v>30</v>
      </c>
      <c r="V31">
        <f t="shared" si="6"/>
        <v>1782.388416104214</v>
      </c>
      <c r="W31">
        <f t="shared" si="30"/>
        <v>42.134838803234743</v>
      </c>
      <c r="X31">
        <f t="shared" si="7"/>
        <v>35672.808083719377</v>
      </c>
      <c r="Z31" s="40" t="s">
        <v>31</v>
      </c>
      <c r="AA31">
        <v>0.67500000000000004</v>
      </c>
      <c r="AB31" s="45">
        <f t="shared" si="31"/>
        <v>25.493457497153905</v>
      </c>
      <c r="AC31">
        <f t="shared" si="34"/>
        <v>15</v>
      </c>
      <c r="AD31">
        <f t="shared" si="8"/>
        <v>358.61587878870461</v>
      </c>
      <c r="AE31">
        <f t="shared" si="32"/>
        <v>42.134838803234743</v>
      </c>
      <c r="AF31">
        <f t="shared" si="25"/>
        <v>7177.3555663951574</v>
      </c>
      <c r="AH31" s="41" t="s">
        <v>122</v>
      </c>
      <c r="AI31">
        <v>0.49</v>
      </c>
      <c r="AJ31" s="45">
        <f t="shared" si="9"/>
        <v>25.110000000000003</v>
      </c>
      <c r="AK31">
        <f t="shared" si="26"/>
        <v>16.942815296002596</v>
      </c>
      <c r="AL31">
        <f t="shared" si="10"/>
        <v>286.83830274781894</v>
      </c>
      <c r="AM31">
        <f t="shared" si="33"/>
        <v>42.134838803234743</v>
      </c>
      <c r="AN31">
        <f t="shared" si="11"/>
        <v>5740.7956832145783</v>
      </c>
      <c r="AQ31">
        <f t="shared" si="27"/>
        <v>21.600000000000009</v>
      </c>
      <c r="AR31">
        <f t="shared" si="12"/>
        <v>79.272000000000034</v>
      </c>
      <c r="AS31">
        <f t="shared" si="13"/>
        <v>213.17894358447441</v>
      </c>
      <c r="AT31">
        <f t="shared" si="14"/>
        <v>50.097051742351482</v>
      </c>
      <c r="AU31">
        <f t="shared" si="15"/>
        <v>263.27599532682586</v>
      </c>
      <c r="AV31">
        <f t="shared" si="16"/>
        <v>342.54799532682591</v>
      </c>
      <c r="BA31">
        <f t="shared" si="17"/>
        <v>210.67419401617371</v>
      </c>
      <c r="BB31">
        <f t="shared" si="18"/>
        <v>28.702091499430786</v>
      </c>
      <c r="BC31">
        <f t="shared" si="19"/>
        <v>28.702091499430782</v>
      </c>
    </row>
    <row r="32" spans="1:55">
      <c r="A32" s="39">
        <v>28</v>
      </c>
      <c r="B32" s="41" t="s">
        <v>106</v>
      </c>
      <c r="C32">
        <v>0.88100000000000001</v>
      </c>
      <c r="D32" s="45">
        <f t="shared" si="20"/>
        <v>10.416000000000002</v>
      </c>
      <c r="E32">
        <f t="shared" si="21"/>
        <v>10.25372150352122</v>
      </c>
      <c r="F32">
        <f t="shared" si="0"/>
        <v>55.909319700973043</v>
      </c>
      <c r="G32">
        <f t="shared" si="28"/>
        <v>41.924164609218572</v>
      </c>
      <c r="H32">
        <f t="shared" si="1"/>
        <v>1113.3769731081848</v>
      </c>
      <c r="J32" s="40" t="s">
        <v>9</v>
      </c>
      <c r="K32">
        <v>0.82499999999999996</v>
      </c>
      <c r="L32" s="45">
        <f t="shared" si="2"/>
        <v>26.040000000000003</v>
      </c>
      <c r="M32">
        <f t="shared" si="22"/>
        <v>15</v>
      </c>
      <c r="N32">
        <f t="shared" si="3"/>
        <v>454.64286477746316</v>
      </c>
      <c r="O32">
        <f t="shared" si="29"/>
        <v>41.924164609218572</v>
      </c>
      <c r="P32">
        <f t="shared" si="4"/>
        <v>9053.7480931351056</v>
      </c>
      <c r="R32" s="41" t="s">
        <v>111</v>
      </c>
      <c r="S32">
        <v>0.34</v>
      </c>
      <c r="T32" s="45">
        <f t="shared" si="5"/>
        <v>59.891999999999996</v>
      </c>
      <c r="U32">
        <f t="shared" si="23"/>
        <v>30</v>
      </c>
      <c r="V32">
        <f t="shared" si="6"/>
        <v>1913.5189192962125</v>
      </c>
      <c r="W32">
        <f t="shared" si="30"/>
        <v>41.924164609218572</v>
      </c>
      <c r="X32">
        <f t="shared" si="7"/>
        <v>38105.774023828504</v>
      </c>
      <c r="Z32" s="40" t="s">
        <v>31</v>
      </c>
      <c r="AA32">
        <v>0.67500000000000004</v>
      </c>
      <c r="AB32" s="45">
        <f t="shared" si="31"/>
        <v>25.8434466123025</v>
      </c>
      <c r="AC32">
        <f t="shared" si="34"/>
        <v>15</v>
      </c>
      <c r="AD32">
        <f t="shared" si="8"/>
        <v>368.28892599652124</v>
      </c>
      <c r="AE32">
        <f t="shared" si="32"/>
        <v>41.924164609218572</v>
      </c>
      <c r="AF32">
        <f t="shared" si="25"/>
        <v>7334.0976396844753</v>
      </c>
      <c r="AH32" s="41" t="s">
        <v>122</v>
      </c>
      <c r="AI32">
        <v>0.49</v>
      </c>
      <c r="AJ32" s="45">
        <f t="shared" si="9"/>
        <v>26.040000000000003</v>
      </c>
      <c r="AK32">
        <f t="shared" si="26"/>
        <v>17.278572879814138</v>
      </c>
      <c r="AL32">
        <f t="shared" si="10"/>
        <v>313.89566022577992</v>
      </c>
      <c r="AM32">
        <f t="shared" si="33"/>
        <v>41.924164609218572</v>
      </c>
      <c r="AN32">
        <f t="shared" si="11"/>
        <v>6250.9113314768465</v>
      </c>
      <c r="AQ32">
        <f t="shared" si="27"/>
        <v>22.400000000000009</v>
      </c>
      <c r="AR32">
        <f t="shared" si="12"/>
        <v>82.208000000000027</v>
      </c>
      <c r="AS32">
        <f t="shared" si="13"/>
        <v>227.01852258472553</v>
      </c>
      <c r="AT32">
        <f t="shared" si="14"/>
        <v>53.349352807410497</v>
      </c>
      <c r="AU32">
        <f t="shared" si="15"/>
        <v>280.36787539213606</v>
      </c>
      <c r="AV32">
        <f t="shared" si="16"/>
        <v>362.57587539213608</v>
      </c>
      <c r="BA32">
        <f t="shared" si="17"/>
        <v>209.62082304609285</v>
      </c>
      <c r="BB32">
        <f t="shared" si="18"/>
        <v>29.6462893224605</v>
      </c>
      <c r="BC32">
        <f t="shared" si="19"/>
        <v>29.6462893224605</v>
      </c>
    </row>
    <row r="33" spans="1:55">
      <c r="A33" s="39">
        <v>29</v>
      </c>
      <c r="B33" s="41" t="s">
        <v>106</v>
      </c>
      <c r="C33">
        <v>0.88100000000000001</v>
      </c>
      <c r="D33" s="45">
        <f t="shared" si="20"/>
        <v>10.788000000000002</v>
      </c>
      <c r="E33">
        <f t="shared" si="21"/>
        <v>10.471701677036089</v>
      </c>
      <c r="F33">
        <f t="shared" si="0"/>
        <v>61.11518186135973</v>
      </c>
      <c r="G33">
        <f t="shared" si="28"/>
        <v>41.714543786172477</v>
      </c>
      <c r="H33">
        <f t="shared" si="1"/>
        <v>1210.9611666339026</v>
      </c>
      <c r="J33" s="40" t="s">
        <v>9</v>
      </c>
      <c r="K33">
        <v>0.82499999999999996</v>
      </c>
      <c r="L33" s="45">
        <f t="shared" si="2"/>
        <v>26.970000000000002</v>
      </c>
      <c r="M33">
        <f t="shared" si="22"/>
        <v>15</v>
      </c>
      <c r="N33">
        <f t="shared" si="3"/>
        <v>486.8764790386046</v>
      </c>
      <c r="O33">
        <f t="shared" si="29"/>
        <v>41.714543786172477</v>
      </c>
      <c r="P33">
        <f t="shared" si="4"/>
        <v>9647.1693465738445</v>
      </c>
      <c r="R33" s="41" t="s">
        <v>111</v>
      </c>
      <c r="S33">
        <v>0.34</v>
      </c>
      <c r="T33" s="45">
        <f t="shared" si="5"/>
        <v>62.030999999999992</v>
      </c>
      <c r="U33">
        <f t="shared" si="23"/>
        <v>30</v>
      </c>
      <c r="V33">
        <f t="shared" si="6"/>
        <v>2049.1850333045809</v>
      </c>
      <c r="W33">
        <f t="shared" si="30"/>
        <v>41.714543786172477</v>
      </c>
      <c r="X33">
        <f t="shared" si="7"/>
        <v>40603.388928932793</v>
      </c>
      <c r="Z33" s="40" t="s">
        <v>31</v>
      </c>
      <c r="AA33">
        <v>0.67500000000000004</v>
      </c>
      <c r="AB33" s="45">
        <f t="shared" si="31"/>
        <v>26.181152841291034</v>
      </c>
      <c r="AC33">
        <f t="shared" si="34"/>
        <v>15</v>
      </c>
      <c r="AD33">
        <f t="shared" si="8"/>
        <v>377.74148789874562</v>
      </c>
      <c r="AE33">
        <f t="shared" si="32"/>
        <v>41.714543786172477</v>
      </c>
      <c r="AF33">
        <f t="shared" si="25"/>
        <v>7484.724072482928</v>
      </c>
      <c r="AH33" s="41" t="s">
        <v>122</v>
      </c>
      <c r="AI33">
        <v>0.49</v>
      </c>
      <c r="AJ33" s="45">
        <f t="shared" si="9"/>
        <v>26.970000000000002</v>
      </c>
      <c r="AK33">
        <f t="shared" si="26"/>
        <v>17.607351918007453</v>
      </c>
      <c r="AL33">
        <f t="shared" si="10"/>
        <v>342.39186162208756</v>
      </c>
      <c r="AM33">
        <f t="shared" si="33"/>
        <v>41.714543786172477</v>
      </c>
      <c r="AN33">
        <f t="shared" si="11"/>
        <v>6784.2921442402476</v>
      </c>
      <c r="AQ33">
        <f t="shared" si="27"/>
        <v>23.20000000000001</v>
      </c>
      <c r="AR33">
        <f t="shared" si="12"/>
        <v>85.144000000000034</v>
      </c>
      <c r="AS33">
        <f t="shared" si="13"/>
        <v>241.23106586802982</v>
      </c>
      <c r="AT33">
        <f t="shared" si="14"/>
        <v>56.689300478987001</v>
      </c>
      <c r="AU33">
        <f t="shared" si="15"/>
        <v>297.9203663470168</v>
      </c>
      <c r="AV33">
        <f t="shared" si="16"/>
        <v>383.06436634701686</v>
      </c>
      <c r="BA33">
        <f t="shared" si="17"/>
        <v>208.57271893086238</v>
      </c>
      <c r="BB33">
        <f t="shared" si="18"/>
        <v>30.588030568258205</v>
      </c>
      <c r="BC33">
        <f t="shared" si="19"/>
        <v>30.588030568258208</v>
      </c>
    </row>
    <row r="34" spans="1:55">
      <c r="A34" s="39">
        <v>30</v>
      </c>
      <c r="B34" s="41" t="s">
        <v>106</v>
      </c>
      <c r="C34">
        <v>0.88100000000000001</v>
      </c>
      <c r="D34" s="45">
        <f t="shared" si="20"/>
        <v>11.16</v>
      </c>
      <c r="E34">
        <f t="shared" si="21"/>
        <v>10.685841331129799</v>
      </c>
      <c r="F34">
        <f t="shared" si="0"/>
        <v>66.599254939982032</v>
      </c>
      <c r="G34">
        <f t="shared" si="28"/>
        <v>41.505971067241617</v>
      </c>
      <c r="H34">
        <f t="shared" si="1"/>
        <v>1313.0267056034027</v>
      </c>
      <c r="J34" s="40" t="s">
        <v>9</v>
      </c>
      <c r="K34">
        <v>0.82499999999999996</v>
      </c>
      <c r="L34" s="45">
        <f t="shared" si="2"/>
        <v>27.900000000000002</v>
      </c>
      <c r="M34">
        <f t="shared" si="22"/>
        <v>15</v>
      </c>
      <c r="N34">
        <f t="shared" si="3"/>
        <v>520.18591853096689</v>
      </c>
      <c r="O34">
        <f t="shared" si="29"/>
        <v>41.505971067241617</v>
      </c>
      <c r="P34">
        <f t="shared" si="4"/>
        <v>10255.640299963088</v>
      </c>
      <c r="R34" s="41" t="s">
        <v>111</v>
      </c>
      <c r="S34">
        <v>0.34</v>
      </c>
      <c r="T34" s="45">
        <f t="shared" si="5"/>
        <v>64.17</v>
      </c>
      <c r="U34">
        <f t="shared" si="23"/>
        <v>30</v>
      </c>
      <c r="V34">
        <f t="shared" si="6"/>
        <v>2189.3791232107005</v>
      </c>
      <c r="W34">
        <f t="shared" si="30"/>
        <v>41.505971067241617</v>
      </c>
      <c r="X34">
        <f t="shared" si="7"/>
        <v>43164.345608022923</v>
      </c>
      <c r="Z34" s="40" t="s">
        <v>31</v>
      </c>
      <c r="AA34">
        <v>0.67500000000000004</v>
      </c>
      <c r="AB34" s="45">
        <f t="shared" si="31"/>
        <v>26.507409170059191</v>
      </c>
      <c r="AC34">
        <f t="shared" si="34"/>
        <v>15</v>
      </c>
      <c r="AD34">
        <f t="shared" si="8"/>
        <v>386.98448149573386</v>
      </c>
      <c r="AE34">
        <f t="shared" si="32"/>
        <v>41.505971067241617</v>
      </c>
      <c r="AF34">
        <f t="shared" si="25"/>
        <v>7629.5291789058783</v>
      </c>
      <c r="AH34" s="41" t="s">
        <v>122</v>
      </c>
      <c r="AI34">
        <v>0.49</v>
      </c>
      <c r="AJ34" s="45">
        <f t="shared" si="9"/>
        <v>27.900000000000002</v>
      </c>
      <c r="AK34">
        <f t="shared" si="26"/>
        <v>17.929498045025785</v>
      </c>
      <c r="AL34">
        <f t="shared" si="10"/>
        <v>372.34741161590995</v>
      </c>
      <c r="AM34">
        <f t="shared" si="33"/>
        <v>41.505971067241617</v>
      </c>
      <c r="AN34">
        <f t="shared" si="11"/>
        <v>7340.9544244088247</v>
      </c>
      <c r="AQ34">
        <f t="shared" si="27"/>
        <v>24.000000000000011</v>
      </c>
      <c r="AR34">
        <f t="shared" si="12"/>
        <v>88.080000000000041</v>
      </c>
      <c r="AS34">
        <f t="shared" si="13"/>
        <v>255.81183111603809</v>
      </c>
      <c r="AT34">
        <f>AS34*0.235</f>
        <v>60.115780312268946</v>
      </c>
      <c r="AU34">
        <f t="shared" si="15"/>
        <v>315.92761142830705</v>
      </c>
      <c r="AV34">
        <f t="shared" si="16"/>
        <v>404.00761142830709</v>
      </c>
      <c r="BA34">
        <f t="shared" si="17"/>
        <v>207.52985533620807</v>
      </c>
      <c r="BB34" s="30">
        <f t="shared" si="18"/>
        <v>31.527481834011844</v>
      </c>
      <c r="BC34" s="30">
        <f t="shared" si="19"/>
        <v>31.527481834011848</v>
      </c>
    </row>
    <row r="35" spans="1:55">
      <c r="R35" s="50"/>
      <c r="AJ35" s="2"/>
    </row>
    <row r="36" spans="1:55">
      <c r="R36" s="50"/>
    </row>
    <row r="37" spans="1:55">
      <c r="R37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E557946BAB394BB2D97E6FA282DCA8" ma:contentTypeVersion="14" ma:contentTypeDescription="Create a new document." ma:contentTypeScope="" ma:versionID="a48b9153df7c9e01953e27e2534c3106">
  <xsd:schema xmlns:xsd="http://www.w3.org/2001/XMLSchema" xmlns:xs="http://www.w3.org/2001/XMLSchema" xmlns:p="http://schemas.microsoft.com/office/2006/metadata/properties" xmlns:ns2="bf440c1c-70a7-40b3-8ffc-e64602dc53be" xmlns:ns3="bae29300-8565-417f-bcd8-2f1392f7251b" targetNamespace="http://schemas.microsoft.com/office/2006/metadata/properties" ma:root="true" ma:fieldsID="9fe252e5775d6e15eaec45fc5a923764" ns2:_="" ns3:_="">
    <xsd:import namespace="bf440c1c-70a7-40b3-8ffc-e64602dc53be"/>
    <xsd:import namespace="bae29300-8565-417f-bcd8-2f1392f725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  <xsd:element ref="ns2:MediaServiceOCR" minOccurs="0"/>
                <xsd:element ref="ns2:m2dcbdd9e09f456eb615beaa8eb80cba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440c1c-70a7-40b3-8ffc-e64602dc53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2dcbdd9e09f456eb615beaa8eb80cba" ma:index="20" nillable="true" ma:taxonomy="true" ma:internalName="m2dcbdd9e09f456eb615beaa8eb80cba" ma:taxonomyFieldName="HR" ma:displayName="HR" ma:default="" ma:fieldId="{62dcbdd9-e09f-456e-b615-beaa8eb80cba}" ma:sspId="fd005ca9-7322-4ee3-a64c-aecb5360dd88" ma:termSetId="8ed8c9ea-7052-4c1d-a4d7-b9c10bffea6f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29300-8565-417f-bcd8-2f1392f7251b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69243a42-ea17-4fb9-8b8a-92c34b57c55a}" ma:internalName="TaxCatchAll" ma:showField="CatchAllData" ma:web="bae29300-8565-417f-bcd8-2f1392f725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e29300-8565-417f-bcd8-2f1392f7251b" xsi:nil="true"/>
    <m2dcbdd9e09f456eb615beaa8eb80cba xmlns="bf440c1c-70a7-40b3-8ffc-e64602dc53be">
      <Terms xmlns="http://schemas.microsoft.com/office/infopath/2007/PartnerControls"/>
    </m2dcbdd9e09f456eb615beaa8eb80cba>
  </documentManagement>
</p:properties>
</file>

<file path=customXml/itemProps1.xml><?xml version="1.0" encoding="utf-8"?>
<ds:datastoreItem xmlns:ds="http://schemas.openxmlformats.org/officeDocument/2006/customXml" ds:itemID="{43B49058-B67B-4D2E-AE39-F309F5A10E08}"/>
</file>

<file path=customXml/itemProps2.xml><?xml version="1.0" encoding="utf-8"?>
<ds:datastoreItem xmlns:ds="http://schemas.openxmlformats.org/officeDocument/2006/customXml" ds:itemID="{616D1BCD-E31F-4DA6-9B8E-55162A5D7717}"/>
</file>

<file path=customXml/itemProps3.xml><?xml version="1.0" encoding="utf-8"?>
<ds:datastoreItem xmlns:ds="http://schemas.openxmlformats.org/officeDocument/2006/customXml" ds:itemID="{C4620C09-09CC-4637-9D80-C7CBDEEF51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Growthfiles_clean</vt:lpstr>
      <vt:lpstr>Calculations</vt:lpstr>
      <vt:lpstr>HomeOrchard_Adjust</vt:lpstr>
      <vt:lpstr>HomeOrchard</vt:lpstr>
      <vt:lpstr>SmallCommunalGarden_adjust</vt:lpstr>
      <vt:lpstr>SmallCommunalGarden</vt:lpstr>
      <vt:lpstr>LargeCommunalGarden_Adjust</vt:lpstr>
      <vt:lpstr>LargeCommunalGarden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ClimateLab</dc:creator>
  <cp:lastModifiedBy>Microsoft Office User</cp:lastModifiedBy>
  <dcterms:created xsi:type="dcterms:W3CDTF">2023-09-05T08:33:06Z</dcterms:created>
  <dcterms:modified xsi:type="dcterms:W3CDTF">2026-07-02T11:35:18Z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0x010100C6E557946BAB394BB2D97E6FA282DCA8</vt:lpwstr>
  </property>
</Properties>
</file>