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tiuk.sharepoint.com/sites/sales/Shared Documents/Sales Calculators/"/>
    </mc:Choice>
  </mc:AlternateContent>
  <xr:revisionPtr revIDLastSave="1160" documentId="8_{6B4BF935-2203-4D8E-8132-9121D7403693}" xr6:coauthVersionLast="47" xr6:coauthVersionMax="47" xr10:uidLastSave="{DF3368C5-FC36-4E27-8FBE-1943A69CACC7}"/>
  <bookViews>
    <workbookView xWindow="-120" yWindow="-120" windowWidth="29040" windowHeight="15720" activeTab="1" xr2:uid="{7E90ECAD-2CE4-4F34-A081-EE44FE00E53A}"/>
  </bookViews>
  <sheets>
    <sheet name="Pressure Drop Calculator" sheetId="1" r:id="rId1"/>
    <sheet name="Wash Pipe Volume Calculator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O13" i="4"/>
  <c r="P13" i="4"/>
  <c r="Q13" i="4"/>
  <c r="R13" i="4"/>
  <c r="T36" i="4" l="1"/>
  <c r="U36" i="4" s="1"/>
  <c r="O44" i="4"/>
  <c r="P44" i="4" s="1"/>
  <c r="T44" i="4"/>
  <c r="U44" i="4" s="1"/>
  <c r="U45" i="4"/>
  <c r="U43" i="4"/>
  <c r="U42" i="4"/>
  <c r="P43" i="4"/>
  <c r="P42" i="4"/>
  <c r="P41" i="4"/>
  <c r="U35" i="4"/>
  <c r="U34" i="4"/>
  <c r="U33" i="4"/>
  <c r="P34" i="4"/>
  <c r="P33" i="4"/>
  <c r="P32" i="4"/>
  <c r="U27" i="4"/>
  <c r="U26" i="4"/>
  <c r="U25" i="4"/>
  <c r="P26" i="4"/>
  <c r="P25" i="4"/>
  <c r="P24" i="4"/>
  <c r="V9" i="4"/>
  <c r="W9" i="4" s="1"/>
  <c r="D25" i="1"/>
  <c r="D26" i="1" s="1"/>
  <c r="D30" i="1"/>
  <c r="P27" i="4" l="1"/>
  <c r="P36" i="4"/>
  <c r="P45" i="4"/>
  <c r="U37" i="4"/>
  <c r="U46" i="4"/>
  <c r="U28" i="4"/>
  <c r="E24" i="4"/>
  <c r="D32" i="1"/>
  <c r="D31" i="1"/>
  <c r="E31" i="4" l="1"/>
  <c r="D31" i="4"/>
  <c r="E25" i="4"/>
  <c r="E26" i="4"/>
  <c r="E33" i="4" l="1"/>
  <c r="D33" i="4"/>
  <c r="E32" i="4"/>
  <c r="D32" i="4"/>
</calcChain>
</file>

<file path=xl/sharedStrings.xml><?xml version="1.0" encoding="utf-8"?>
<sst xmlns="http://schemas.openxmlformats.org/spreadsheetml/2006/main" count="212" uniqueCount="128">
  <si>
    <t xml:space="preserve">DTI Venturi Junk Baskets </t>
  </si>
  <si>
    <t>Notes</t>
  </si>
  <si>
    <t>If using a motor of if surface circulation is an issue then select nozzles and flow rate to achieve a pressure drop of between 300 psi and 500 psi.</t>
  </si>
  <si>
    <t>Input Values</t>
  </si>
  <si>
    <t>Jet Nozzle ID</t>
  </si>
  <si>
    <t>inches</t>
  </si>
  <si>
    <t>Number of Jetting Nozzles</t>
  </si>
  <si>
    <t>Flow Rate</t>
  </si>
  <si>
    <t>bbls/min</t>
  </si>
  <si>
    <t>Fluid Density</t>
  </si>
  <si>
    <t>lbs/gal</t>
  </si>
  <si>
    <t>Equivalent Flow Rates in Other Units</t>
  </si>
  <si>
    <t>Gallons per minute</t>
  </si>
  <si>
    <t>Litres per minute</t>
  </si>
  <si>
    <t>Output Values</t>
  </si>
  <si>
    <t>Flow Area Through Nozzles</t>
  </si>
  <si>
    <r>
      <t>in</t>
    </r>
    <r>
      <rPr>
        <vertAlign val="superscript"/>
        <sz val="10.5"/>
        <color theme="1"/>
        <rFont val="Arial"/>
        <family val="2"/>
      </rPr>
      <t>2</t>
    </r>
  </si>
  <si>
    <t>Velocity of Fluid Through Nozzles</t>
  </si>
  <si>
    <t>ft/second</t>
  </si>
  <si>
    <t>Pressure Drop Through Nozzles</t>
  </si>
  <si>
    <t>psi</t>
  </si>
  <si>
    <t>Source:</t>
  </si>
  <si>
    <t>Formulas and Calculation for Drilling, Production and Workover, Norton J. Lapeyrouse, 1992</t>
  </si>
  <si>
    <t>References</t>
  </si>
  <si>
    <t>Jetting Nozzles</t>
  </si>
  <si>
    <t>Part No.</t>
  </si>
  <si>
    <t>Choke ID</t>
  </si>
  <si>
    <t>Nozzle Design</t>
  </si>
  <si>
    <t>50369-062</t>
  </si>
  <si>
    <t>in</t>
  </si>
  <si>
    <t>50369-078</t>
  </si>
  <si>
    <t>50369-094</t>
  </si>
  <si>
    <t>53069-109</t>
  </si>
  <si>
    <t>53069-125</t>
  </si>
  <si>
    <t>53069-140</t>
  </si>
  <si>
    <t>53069-156</t>
  </si>
  <si>
    <t>50369-171</t>
  </si>
  <si>
    <t>50369-187</t>
  </si>
  <si>
    <t>Fluid Density Examples</t>
  </si>
  <si>
    <t>Maximum Number of Jetting Nozzles</t>
  </si>
  <si>
    <t xml:space="preserve">Fluid </t>
  </si>
  <si>
    <t>lb / Gal</t>
  </si>
  <si>
    <t>Tool Size</t>
  </si>
  <si>
    <t>Qty</t>
  </si>
  <si>
    <t>Oil</t>
  </si>
  <si>
    <t>1 11/16"</t>
  </si>
  <si>
    <t>Fresh Water</t>
  </si>
  <si>
    <t>2 1/16"</t>
  </si>
  <si>
    <t>Salt Water</t>
  </si>
  <si>
    <t>2 1/8"</t>
  </si>
  <si>
    <t>Liquid N2</t>
  </si>
  <si>
    <t>2 5/8"</t>
  </si>
  <si>
    <t>Cement slurry</t>
  </si>
  <si>
    <t>2 7/8"</t>
  </si>
  <si>
    <t>3 1/8"</t>
  </si>
  <si>
    <t>Volume in Tool</t>
  </si>
  <si>
    <t>Length</t>
  </si>
  <si>
    <t>Wash Tube Extension</t>
  </si>
  <si>
    <t>Length of Extensions</t>
  </si>
  <si>
    <t>Qty of Extensions</t>
  </si>
  <si>
    <t>Calculated Volume</t>
  </si>
  <si>
    <t>ID of Adaptor</t>
  </si>
  <si>
    <t>ID of Tube</t>
  </si>
  <si>
    <t>Length of Adaptor</t>
  </si>
  <si>
    <t xml:space="preserve">Makeup Loss </t>
  </si>
  <si>
    <t>ft</t>
  </si>
  <si>
    <t>Calc Line</t>
  </si>
  <si>
    <t>Data Table</t>
  </si>
  <si>
    <t>Length ft</t>
  </si>
  <si>
    <t>Adaptor</t>
  </si>
  <si>
    <t>ID</t>
  </si>
  <si>
    <t>Magnet</t>
  </si>
  <si>
    <t>Filter</t>
  </si>
  <si>
    <t>Total</t>
  </si>
  <si>
    <t>Tube</t>
  </si>
  <si>
    <t>Washpipe Volume Calculator</t>
  </si>
  <si>
    <t>Job Notes</t>
  </si>
  <si>
    <t>Written by:</t>
  </si>
  <si>
    <t>Date:</t>
  </si>
  <si>
    <t>For the most efficient operation select a combination of flow rate and nozzle size to achieve a pressure drop of between 500 psi and 1000 psi.</t>
  </si>
  <si>
    <t>Pressure Drop Calculator - Liquid</t>
  </si>
  <si>
    <r>
      <t>in</t>
    </r>
    <r>
      <rPr>
        <vertAlign val="superscript"/>
        <sz val="10.5"/>
        <color theme="0"/>
        <rFont val="Arial"/>
        <family val="2"/>
      </rPr>
      <t>3</t>
    </r>
  </si>
  <si>
    <r>
      <t>in</t>
    </r>
    <r>
      <rPr>
        <vertAlign val="superscript"/>
        <sz val="10.5"/>
        <color theme="1"/>
        <rFont val="Arial"/>
        <family val="2"/>
      </rPr>
      <t>3</t>
    </r>
  </si>
  <si>
    <r>
      <t>ft</t>
    </r>
    <r>
      <rPr>
        <vertAlign val="superscript"/>
        <sz val="10.5"/>
        <color theme="1"/>
        <rFont val="Arial"/>
        <family val="2"/>
      </rPr>
      <t>3</t>
    </r>
  </si>
  <si>
    <r>
      <t>cm</t>
    </r>
    <r>
      <rPr>
        <vertAlign val="superscript"/>
        <sz val="10.5"/>
        <color theme="1"/>
        <rFont val="Arial"/>
        <family val="2"/>
      </rPr>
      <t>3</t>
    </r>
  </si>
  <si>
    <t>Min at 30% Capacity</t>
  </si>
  <si>
    <t>Volume Units</t>
  </si>
  <si>
    <t>Max at 50% Capacity</t>
  </si>
  <si>
    <t>Effective Washpipe Volumes</t>
  </si>
  <si>
    <t>Select wash pipe capacity based on the amout of debris you wish to remove in a run. As a rule of thumb select a washpipe volume that is 30% to 50% greater than the volume of debris that you wish to remove in each run.</t>
  </si>
  <si>
    <t>Tool Part No.</t>
  </si>
  <si>
    <t>3ft Washpipe</t>
  </si>
  <si>
    <t>4ft Washpipe</t>
  </si>
  <si>
    <t>5ft Washpipe</t>
  </si>
  <si>
    <t>VJB169AA08</t>
  </si>
  <si>
    <t>VJB206AA09</t>
  </si>
  <si>
    <t>VJB212AA09</t>
  </si>
  <si>
    <t>VJB263AA09</t>
  </si>
  <si>
    <t>VJB288AA23</t>
  </si>
  <si>
    <t>VJB312AA23</t>
  </si>
  <si>
    <t>VEXT169AA-3</t>
  </si>
  <si>
    <t>VEXT169AA-4</t>
  </si>
  <si>
    <t>VEXT169AA-5</t>
  </si>
  <si>
    <t>VEXT206AA-3</t>
  </si>
  <si>
    <t>VEXT206AA-4</t>
  </si>
  <si>
    <t>VEXT206AA-5</t>
  </si>
  <si>
    <t>VEXT212AA-3</t>
  </si>
  <si>
    <t>VEXT263AA-3</t>
  </si>
  <si>
    <t>VEXT288AA-3</t>
  </si>
  <si>
    <t>VEXT312AA-3</t>
  </si>
  <si>
    <t>VEXT212AA-4</t>
  </si>
  <si>
    <t>VEXT263AA-4</t>
  </si>
  <si>
    <t>VEXT288AA-4</t>
  </si>
  <si>
    <t>VEXT312AA-4</t>
  </si>
  <si>
    <t>VEXT212AA-5</t>
  </si>
  <si>
    <t>VEXT263AA-5</t>
  </si>
  <si>
    <t>VEXT288AA-5</t>
  </si>
  <si>
    <t>VEXT312AA-5</t>
  </si>
  <si>
    <t>1 11/16" to 2 1/2"</t>
  </si>
  <si>
    <t>AA56217-062</t>
  </si>
  <si>
    <t>AA56217-078</t>
  </si>
  <si>
    <t>AA56217-094</t>
  </si>
  <si>
    <t>AA56217-109</t>
  </si>
  <si>
    <t>AA56217-125</t>
  </si>
  <si>
    <t>AA56217-140</t>
  </si>
  <si>
    <t>AA56217-156</t>
  </si>
  <si>
    <t>AA56217-171</t>
  </si>
  <si>
    <t>AA56217-187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</si>
</sst>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vertAlign val="superscript"/>
      <sz val="10.5"/>
      <color theme="1"/>
      <name val="Arial"/>
      <family val="2"/>
    </font>
    <font>
      <b/>
      <sz val="10.5"/>
      <color theme="0"/>
      <name val="Arial"/>
      <family val="2"/>
    </font>
    <font>
      <sz val="10.5"/>
      <name val="Arial"/>
      <family val="2"/>
    </font>
    <font>
      <sz val="10.5"/>
      <color theme="0"/>
      <name val="Arial"/>
      <family val="2"/>
    </font>
    <font>
      <vertAlign val="superscript"/>
      <sz val="10.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" fillId="0" borderId="0" xfId="0" applyFont="1"/>
    <xf numFmtId="164" fontId="2" fillId="0" borderId="2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3" fontId="2" fillId="0" borderId="1" xfId="0" applyNumberFormat="1" applyFont="1" applyBorder="1"/>
    <xf numFmtId="0" fontId="2" fillId="0" borderId="1" xfId="0" applyFont="1" applyBorder="1"/>
    <xf numFmtId="0" fontId="8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1" fontId="2" fillId="3" borderId="0" xfId="0" applyNumberFormat="1" applyFont="1" applyFill="1" applyAlignment="1" applyProtection="1">
      <alignment horizontal="center"/>
      <protection hidden="1"/>
    </xf>
    <xf numFmtId="164" fontId="2" fillId="3" borderId="0" xfId="0" applyNumberFormat="1" applyFont="1" applyFill="1" applyAlignment="1" applyProtection="1">
      <alignment horizontal="center"/>
      <protection hidden="1"/>
    </xf>
    <xf numFmtId="0" fontId="2" fillId="2" borderId="1" xfId="0" applyFont="1" applyFill="1" applyBorder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165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46</xdr:row>
      <xdr:rowOff>28575</xdr:rowOff>
    </xdr:from>
    <xdr:to>
      <xdr:col>7</xdr:col>
      <xdr:colOff>724535</xdr:colOff>
      <xdr:row>54</xdr:row>
      <xdr:rowOff>71755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076E923-13FB-E7B2-8689-43E22FF5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8515350"/>
          <a:ext cx="1981835" cy="141478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1</xdr:col>
      <xdr:colOff>867508</xdr:colOff>
      <xdr:row>4</xdr:row>
      <xdr:rowOff>38100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0CA2606-FE98-09AD-C4C0-F0382E3E6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3350"/>
          <a:ext cx="1362808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2</xdr:col>
      <xdr:colOff>324583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E70A54-EFFA-4F23-9056-4130AAD1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0025"/>
          <a:ext cx="1362808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FA5C-4503-43F7-A62D-AAB959894B7E}">
  <sheetPr>
    <pageSetUpPr fitToPage="1"/>
  </sheetPr>
  <dimension ref="A6:I65"/>
  <sheetViews>
    <sheetView showGridLines="0" topLeftCell="A34" workbookViewId="0">
      <selection activeCell="D20" sqref="D20"/>
    </sheetView>
  </sheetViews>
  <sheetFormatPr defaultColWidth="9.140625" defaultRowHeight="13.5" x14ac:dyDescent="0.2"/>
  <cols>
    <col min="1" max="1" width="9.140625" style="1"/>
    <col min="2" max="2" width="16.28515625" style="1" customWidth="1"/>
    <col min="3" max="3" width="17.85546875" style="1" customWidth="1"/>
    <col min="4" max="4" width="10.5703125" style="1" bestFit="1" customWidth="1"/>
    <col min="5" max="5" width="9.140625" style="3" customWidth="1"/>
    <col min="6" max="6" width="9.140625" style="1"/>
    <col min="7" max="7" width="10.42578125" style="1" customWidth="1"/>
    <col min="8" max="8" width="12.42578125" style="1" customWidth="1"/>
    <col min="9" max="9" width="9.140625" style="1"/>
    <col min="10" max="10" width="13.7109375" style="1" bestFit="1" customWidth="1"/>
    <col min="11" max="16384" width="9.140625" style="1"/>
  </cols>
  <sheetData>
    <row r="6" spans="1:9" ht="15.75" x14ac:dyDescent="0.25">
      <c r="A6" s="39" t="s">
        <v>0</v>
      </c>
      <c r="B6" s="39"/>
      <c r="C6" s="39"/>
      <c r="D6" s="39"/>
      <c r="E6" s="39"/>
      <c r="F6" s="39"/>
      <c r="G6" s="39"/>
      <c r="H6" s="39"/>
      <c r="I6" s="39"/>
    </row>
    <row r="7" spans="1:9" x14ac:dyDescent="0.2">
      <c r="A7" s="41" t="s">
        <v>80</v>
      </c>
      <c r="B7" s="41"/>
      <c r="C7" s="41"/>
      <c r="D7" s="41"/>
      <c r="E7" s="41"/>
      <c r="F7" s="41"/>
      <c r="G7" s="41"/>
      <c r="H7" s="41"/>
      <c r="I7" s="41"/>
    </row>
    <row r="8" spans="1:9" x14ac:dyDescent="0.2">
      <c r="A8" s="3"/>
      <c r="B8" s="3"/>
      <c r="C8" s="3"/>
      <c r="D8" s="3"/>
      <c r="F8" s="3"/>
      <c r="G8" s="3"/>
      <c r="H8" s="3"/>
      <c r="I8" s="3"/>
    </row>
    <row r="9" spans="1:9" ht="12.75" customHeight="1" x14ac:dyDescent="0.2">
      <c r="A9" s="4" t="s">
        <v>1</v>
      </c>
      <c r="B9" s="3"/>
      <c r="C9" s="3"/>
      <c r="D9" s="3"/>
      <c r="F9" s="3"/>
      <c r="G9" s="3"/>
      <c r="H9" s="3"/>
      <c r="I9" s="3"/>
    </row>
    <row r="10" spans="1:9" ht="28.5" customHeight="1" x14ac:dyDescent="0.2">
      <c r="A10" s="44" t="s">
        <v>79</v>
      </c>
      <c r="B10" s="44"/>
      <c r="C10" s="44"/>
      <c r="D10" s="44"/>
      <c r="E10" s="44"/>
      <c r="F10" s="44"/>
      <c r="G10" s="44"/>
      <c r="H10" s="44"/>
      <c r="I10" s="44"/>
    </row>
    <row r="11" spans="1:9" ht="30" customHeight="1" x14ac:dyDescent="0.2">
      <c r="A11" s="44" t="s">
        <v>2</v>
      </c>
      <c r="B11" s="44"/>
      <c r="C11" s="44"/>
      <c r="D11" s="44"/>
      <c r="E11" s="44"/>
      <c r="F11" s="44"/>
      <c r="G11" s="44"/>
      <c r="H11" s="44"/>
      <c r="I11" s="44"/>
    </row>
    <row r="13" spans="1:9" x14ac:dyDescent="0.2">
      <c r="A13" s="5" t="s">
        <v>76</v>
      </c>
    </row>
    <row r="14" spans="1:9" x14ac:dyDescent="0.2">
      <c r="A14" s="43"/>
      <c r="B14" s="43"/>
      <c r="C14" s="43"/>
      <c r="D14" s="43"/>
      <c r="E14" s="43"/>
      <c r="F14" s="43"/>
      <c r="G14" s="43"/>
      <c r="H14" s="43"/>
      <c r="I14" s="43"/>
    </row>
    <row r="15" spans="1:9" x14ac:dyDescent="0.2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">
      <c r="C16" s="5" t="s">
        <v>3</v>
      </c>
    </row>
    <row r="18" spans="2:9" x14ac:dyDescent="0.2">
      <c r="C18" s="6" t="s">
        <v>4</v>
      </c>
      <c r="D18" s="22">
        <v>0.187</v>
      </c>
      <c r="E18" s="1" t="s">
        <v>5</v>
      </c>
    </row>
    <row r="19" spans="2:9" x14ac:dyDescent="0.2">
      <c r="C19" s="6" t="s">
        <v>6</v>
      </c>
      <c r="D19" s="22">
        <v>3</v>
      </c>
      <c r="E19" s="1"/>
    </row>
    <row r="20" spans="2:9" x14ac:dyDescent="0.2">
      <c r="C20" s="6" t="s">
        <v>7</v>
      </c>
      <c r="D20" s="22">
        <v>2.5</v>
      </c>
      <c r="E20" s="1" t="s">
        <v>8</v>
      </c>
      <c r="I20" s="5"/>
    </row>
    <row r="21" spans="2:9" x14ac:dyDescent="0.2">
      <c r="C21" s="6" t="s">
        <v>9</v>
      </c>
      <c r="D21" s="22">
        <v>8.33</v>
      </c>
      <c r="E21" s="1" t="s">
        <v>10</v>
      </c>
      <c r="I21" s="7"/>
    </row>
    <row r="22" spans="2:9" x14ac:dyDescent="0.2">
      <c r="C22" s="6"/>
      <c r="D22" s="3"/>
      <c r="E22" s="1"/>
      <c r="I22" s="7"/>
    </row>
    <row r="23" spans="2:9" x14ac:dyDescent="0.2">
      <c r="B23" s="5" t="s">
        <v>11</v>
      </c>
      <c r="C23" s="6"/>
      <c r="D23" s="3"/>
      <c r="E23" s="1"/>
      <c r="I23" s="7"/>
    </row>
    <row r="24" spans="2:9" x14ac:dyDescent="0.2">
      <c r="I24" s="7"/>
    </row>
    <row r="25" spans="2:9" x14ac:dyDescent="0.2">
      <c r="C25" s="6" t="s">
        <v>7</v>
      </c>
      <c r="D25" s="23">
        <f>D20*42</f>
        <v>105</v>
      </c>
      <c r="E25" s="8" t="s">
        <v>12</v>
      </c>
      <c r="I25" s="7"/>
    </row>
    <row r="26" spans="2:9" x14ac:dyDescent="0.2">
      <c r="C26" s="6" t="s">
        <v>7</v>
      </c>
      <c r="D26" s="24">
        <f>D25*3.785</f>
        <v>397.42500000000001</v>
      </c>
      <c r="E26" s="8" t="s">
        <v>13</v>
      </c>
      <c r="I26" s="7"/>
    </row>
    <row r="27" spans="2:9" x14ac:dyDescent="0.2">
      <c r="I27" s="7"/>
    </row>
    <row r="28" spans="2:9" x14ac:dyDescent="0.2">
      <c r="C28" s="9" t="s">
        <v>14</v>
      </c>
      <c r="I28" s="7"/>
    </row>
    <row r="29" spans="2:9" x14ac:dyDescent="0.2">
      <c r="C29" s="6"/>
      <c r="D29" s="3"/>
      <c r="E29" s="1"/>
    </row>
    <row r="30" spans="2:9" ht="15.75" x14ac:dyDescent="0.2">
      <c r="C30" s="6" t="s">
        <v>15</v>
      </c>
      <c r="D30" s="25">
        <f>D19*(PI()*D18^2)/4</f>
        <v>8.2393765127536114E-2</v>
      </c>
      <c r="E30" s="1" t="s">
        <v>16</v>
      </c>
    </row>
    <row r="31" spans="2:9" x14ac:dyDescent="0.2">
      <c r="C31" s="6" t="s">
        <v>17</v>
      </c>
      <c r="D31" s="24">
        <f>(417.2*D25)/((3*(D18*32)^2))</f>
        <v>407.78305427664503</v>
      </c>
      <c r="E31" s="1" t="s">
        <v>18</v>
      </c>
    </row>
    <row r="32" spans="2:9" x14ac:dyDescent="0.2">
      <c r="C32" s="6" t="s">
        <v>19</v>
      </c>
      <c r="D32" s="24">
        <f>(D25^2*D21)/(10858*D30^2)</f>
        <v>1245.9053878296356</v>
      </c>
      <c r="E32" s="1" t="s">
        <v>20</v>
      </c>
    </row>
    <row r="34" spans="1:9" x14ac:dyDescent="0.2">
      <c r="D34" s="6"/>
    </row>
    <row r="35" spans="1:9" x14ac:dyDescent="0.2">
      <c r="D35" s="6"/>
      <c r="E35" s="10"/>
    </row>
    <row r="36" spans="1:9" x14ac:dyDescent="0.2">
      <c r="A36" s="1" t="s">
        <v>21</v>
      </c>
      <c r="B36" s="1" t="s">
        <v>22</v>
      </c>
      <c r="D36" s="6"/>
    </row>
    <row r="37" spans="1:9" x14ac:dyDescent="0.2">
      <c r="D37" s="6"/>
    </row>
    <row r="38" spans="1:9" x14ac:dyDescent="0.2">
      <c r="A38" s="1" t="s">
        <v>77</v>
      </c>
      <c r="D38" s="6"/>
      <c r="F38" s="3" t="s">
        <v>78</v>
      </c>
    </row>
    <row r="39" spans="1:9" x14ac:dyDescent="0.2">
      <c r="A39" s="42"/>
      <c r="B39" s="42"/>
      <c r="C39" s="42"/>
      <c r="D39" s="42"/>
      <c r="F39" s="43"/>
      <c r="G39" s="43"/>
      <c r="H39" s="43"/>
      <c r="I39" s="43"/>
    </row>
    <row r="41" spans="1:9" ht="15.75" x14ac:dyDescent="0.25">
      <c r="A41" s="14" t="s">
        <v>23</v>
      </c>
    </row>
    <row r="42" spans="1:9" ht="15.75" x14ac:dyDescent="0.25">
      <c r="A42" s="14"/>
    </row>
    <row r="43" spans="1:9" ht="15.75" x14ac:dyDescent="0.25">
      <c r="A43" s="14"/>
      <c r="B43" s="41" t="s">
        <v>24</v>
      </c>
      <c r="C43" s="41"/>
      <c r="D43" s="41"/>
      <c r="E43" s="41"/>
      <c r="F43" s="41"/>
      <c r="G43" s="41"/>
    </row>
    <row r="44" spans="1:9" ht="15.75" x14ac:dyDescent="0.25">
      <c r="A44" s="14"/>
    </row>
    <row r="45" spans="1:9" ht="15" customHeight="1" x14ac:dyDescent="0.2">
      <c r="B45" s="11" t="s">
        <v>25</v>
      </c>
      <c r="C45" s="11" t="s">
        <v>25</v>
      </c>
      <c r="D45" s="40" t="s">
        <v>26</v>
      </c>
      <c r="E45" s="40"/>
      <c r="F45" s="40" t="s">
        <v>27</v>
      </c>
      <c r="G45" s="40"/>
      <c r="H45" s="40"/>
    </row>
    <row r="46" spans="1:9" ht="15" customHeight="1" x14ac:dyDescent="0.2">
      <c r="B46" s="11" t="s">
        <v>118</v>
      </c>
      <c r="C46" s="11" t="s">
        <v>54</v>
      </c>
      <c r="D46" s="57"/>
      <c r="E46" s="57"/>
      <c r="F46" s="49"/>
      <c r="G46" s="50"/>
      <c r="H46" s="51"/>
    </row>
    <row r="47" spans="1:9" x14ac:dyDescent="0.2">
      <c r="B47" s="17" t="s">
        <v>28</v>
      </c>
      <c r="C47" s="38" t="s">
        <v>119</v>
      </c>
      <c r="D47" s="15">
        <v>6.2E-2</v>
      </c>
      <c r="E47" s="16" t="s">
        <v>29</v>
      </c>
      <c r="F47" s="46"/>
      <c r="G47" s="56"/>
      <c r="H47" s="56"/>
    </row>
    <row r="48" spans="1:9" x14ac:dyDescent="0.2">
      <c r="B48" s="17" t="s">
        <v>30</v>
      </c>
      <c r="C48" s="38" t="s">
        <v>120</v>
      </c>
      <c r="D48" s="15">
        <v>7.8E-2</v>
      </c>
      <c r="E48" s="16" t="s">
        <v>29</v>
      </c>
      <c r="F48" s="46"/>
      <c r="G48" s="56"/>
      <c r="H48" s="56"/>
    </row>
    <row r="49" spans="2:8" x14ac:dyDescent="0.2">
      <c r="B49" s="17" t="s">
        <v>31</v>
      </c>
      <c r="C49" s="38" t="s">
        <v>121</v>
      </c>
      <c r="D49" s="15">
        <v>9.4E-2</v>
      </c>
      <c r="E49" s="16" t="s">
        <v>29</v>
      </c>
      <c r="F49" s="46"/>
      <c r="G49" s="56"/>
      <c r="H49" s="56"/>
    </row>
    <row r="50" spans="2:8" x14ac:dyDescent="0.2">
      <c r="B50" s="17" t="s">
        <v>32</v>
      </c>
      <c r="C50" s="38" t="s">
        <v>122</v>
      </c>
      <c r="D50" s="15">
        <v>0.109</v>
      </c>
      <c r="E50" s="16" t="s">
        <v>29</v>
      </c>
      <c r="F50" s="46"/>
      <c r="G50" s="56"/>
      <c r="H50" s="56"/>
    </row>
    <row r="51" spans="2:8" x14ac:dyDescent="0.2">
      <c r="B51" s="17" t="s">
        <v>33</v>
      </c>
      <c r="C51" s="38" t="s">
        <v>123</v>
      </c>
      <c r="D51" s="15">
        <v>0.125</v>
      </c>
      <c r="E51" s="16" t="s">
        <v>29</v>
      </c>
      <c r="F51" s="46"/>
      <c r="G51" s="56"/>
      <c r="H51" s="56"/>
    </row>
    <row r="52" spans="2:8" x14ac:dyDescent="0.2">
      <c r="B52" s="17" t="s">
        <v>34</v>
      </c>
      <c r="C52" s="38" t="s">
        <v>124</v>
      </c>
      <c r="D52" s="15">
        <v>0.14000000000000001</v>
      </c>
      <c r="E52" s="16" t="s">
        <v>29</v>
      </c>
      <c r="F52" s="46"/>
      <c r="G52" s="56"/>
      <c r="H52" s="56"/>
    </row>
    <row r="53" spans="2:8" x14ac:dyDescent="0.2">
      <c r="B53" s="17" t="s">
        <v>35</v>
      </c>
      <c r="C53" s="38" t="s">
        <v>125</v>
      </c>
      <c r="D53" s="15">
        <v>0.156</v>
      </c>
      <c r="E53" s="16" t="s">
        <v>29</v>
      </c>
      <c r="F53" s="46"/>
      <c r="G53" s="56"/>
      <c r="H53" s="56"/>
    </row>
    <row r="54" spans="2:8" x14ac:dyDescent="0.2">
      <c r="B54" s="17" t="s">
        <v>36</v>
      </c>
      <c r="C54" s="38" t="s">
        <v>126</v>
      </c>
      <c r="D54" s="15">
        <v>0.17100000000000001</v>
      </c>
      <c r="E54" s="16" t="s">
        <v>29</v>
      </c>
      <c r="F54" s="46"/>
      <c r="G54" s="56"/>
      <c r="H54" s="56"/>
    </row>
    <row r="55" spans="2:8" x14ac:dyDescent="0.2">
      <c r="B55" s="17" t="s">
        <v>37</v>
      </c>
      <c r="C55" s="38" t="s">
        <v>127</v>
      </c>
      <c r="D55" s="15">
        <v>0.187</v>
      </c>
      <c r="E55" s="16" t="s">
        <v>29</v>
      </c>
      <c r="F55" s="46"/>
      <c r="G55" s="56"/>
      <c r="H55" s="56"/>
    </row>
    <row r="57" spans="2:8" x14ac:dyDescent="0.2">
      <c r="B57" s="5" t="s">
        <v>38</v>
      </c>
      <c r="C57" s="2"/>
      <c r="E57" s="5" t="s">
        <v>39</v>
      </c>
      <c r="F57" s="5"/>
      <c r="G57" s="5"/>
    </row>
    <row r="59" spans="2:8" x14ac:dyDescent="0.2">
      <c r="B59" s="11" t="s">
        <v>40</v>
      </c>
      <c r="C59" s="11" t="s">
        <v>41</v>
      </c>
      <c r="F59" s="11" t="s">
        <v>42</v>
      </c>
      <c r="G59" s="11" t="s">
        <v>43</v>
      </c>
    </row>
    <row r="60" spans="2:8" x14ac:dyDescent="0.2">
      <c r="B60" s="12" t="s">
        <v>44</v>
      </c>
      <c r="C60" s="13">
        <v>7.2</v>
      </c>
      <c r="F60" s="18" t="s">
        <v>45</v>
      </c>
      <c r="G60" s="17">
        <v>2</v>
      </c>
    </row>
    <row r="61" spans="2:8" x14ac:dyDescent="0.2">
      <c r="B61" s="12" t="s">
        <v>46</v>
      </c>
      <c r="C61" s="13">
        <v>8.33</v>
      </c>
      <c r="F61" s="19" t="s">
        <v>47</v>
      </c>
      <c r="G61" s="17">
        <v>3</v>
      </c>
    </row>
    <row r="62" spans="2:8" x14ac:dyDescent="0.2">
      <c r="B62" s="12" t="s">
        <v>48</v>
      </c>
      <c r="C62" s="13">
        <v>9.625</v>
      </c>
      <c r="F62" s="19" t="s">
        <v>49</v>
      </c>
      <c r="G62" s="17">
        <v>3</v>
      </c>
    </row>
    <row r="63" spans="2:8" x14ac:dyDescent="0.2">
      <c r="B63" s="12" t="s">
        <v>50</v>
      </c>
      <c r="C63" s="13">
        <v>10.4</v>
      </c>
      <c r="F63" s="19" t="s">
        <v>51</v>
      </c>
      <c r="G63" s="17">
        <v>3</v>
      </c>
    </row>
    <row r="64" spans="2:8" x14ac:dyDescent="0.2">
      <c r="B64" s="12" t="s">
        <v>52</v>
      </c>
      <c r="C64" s="13">
        <v>16.2</v>
      </c>
      <c r="F64" s="19" t="s">
        <v>53</v>
      </c>
      <c r="G64" s="17">
        <v>3</v>
      </c>
    </row>
    <row r="65" spans="6:7" x14ac:dyDescent="0.2">
      <c r="F65" s="19" t="s">
        <v>54</v>
      </c>
      <c r="G65" s="17">
        <v>3</v>
      </c>
    </row>
  </sheetData>
  <sheetProtection algorithmName="SHA-512" hashValue="3gwS8eoZ62yBpmQ7t2jgBRKRK/ouFv2ektmgTytjhFFAdTiinnKZVobzICSXnE3mK6yA534jRFQe6eueiy97Gg==" saltValue="/YlyBdxOWIT/T8qfnzDTwA==" spinCount="100000" sheet="1" objects="1" scenarios="1"/>
  <mergeCells count="13">
    <mergeCell ref="F47:H55"/>
    <mergeCell ref="D45:E45"/>
    <mergeCell ref="D46:E46"/>
    <mergeCell ref="F45:H45"/>
    <mergeCell ref="F46:H46"/>
    <mergeCell ref="A6:I6"/>
    <mergeCell ref="B43:G43"/>
    <mergeCell ref="A39:D39"/>
    <mergeCell ref="A14:I15"/>
    <mergeCell ref="A10:I10"/>
    <mergeCell ref="A11:I11"/>
    <mergeCell ref="F39:I39"/>
    <mergeCell ref="A7:I7"/>
  </mergeCells>
  <dataValidations count="1">
    <dataValidation type="list" allowBlank="1" showInputMessage="1" showErrorMessage="1" sqref="D18" xr:uid="{2FE94A93-9DC6-46E9-BB7E-F8036BD5CA03}">
      <formula1>$D$47:$D$55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70ED-0F16-4AFA-9F1A-03D7F7CE66F0}">
  <dimension ref="A3:W46"/>
  <sheetViews>
    <sheetView showGridLines="0" tabSelected="1" workbookViewId="0">
      <selection activeCell="F19" sqref="F19"/>
    </sheetView>
  </sheetViews>
  <sheetFormatPr defaultRowHeight="13.5" x14ac:dyDescent="0.2"/>
  <cols>
    <col min="1" max="2" width="9.140625" style="1"/>
    <col min="3" max="3" width="9.5703125" style="1" customWidth="1"/>
    <col min="4" max="4" width="19.5703125" style="1" customWidth="1"/>
    <col min="5" max="5" width="9.42578125" style="1" bestFit="1" customWidth="1"/>
    <col min="6" max="6" width="10.5703125" style="1" customWidth="1"/>
    <col min="7" max="12" width="9.140625" style="1"/>
    <col min="13" max="13" width="9.5703125" style="1" hidden="1" customWidth="1"/>
    <col min="14" max="14" width="13.5703125" style="3" hidden="1" customWidth="1"/>
    <col min="15" max="15" width="11.85546875" style="3" hidden="1" customWidth="1"/>
    <col min="16" max="16" width="15.5703125" style="3" hidden="1" customWidth="1"/>
    <col min="17" max="17" width="12.28515625" style="3" hidden="1" customWidth="1"/>
    <col min="18" max="18" width="9.28515625" style="3" hidden="1" customWidth="1"/>
    <col min="19" max="21" width="0" style="1" hidden="1" customWidth="1"/>
    <col min="22" max="22" width="9.42578125" style="1" hidden="1" customWidth="1"/>
    <col min="23" max="23" width="0" style="1" hidden="1" customWidth="1"/>
    <col min="24" max="16384" width="9.140625" style="1"/>
  </cols>
  <sheetData>
    <row r="3" spans="1:23" x14ac:dyDescent="0.2">
      <c r="M3" s="49" t="s">
        <v>67</v>
      </c>
      <c r="N3" s="50"/>
      <c r="O3" s="50"/>
      <c r="P3" s="50"/>
      <c r="Q3" s="50"/>
      <c r="R3" s="51"/>
    </row>
    <row r="4" spans="1:23" x14ac:dyDescent="0.2">
      <c r="M4" s="20" t="s">
        <v>42</v>
      </c>
      <c r="N4" s="20" t="s">
        <v>55</v>
      </c>
      <c r="O4" s="20" t="s">
        <v>61</v>
      </c>
      <c r="P4" s="20" t="s">
        <v>63</v>
      </c>
      <c r="Q4" s="20" t="s">
        <v>64</v>
      </c>
      <c r="R4" s="20" t="s">
        <v>62</v>
      </c>
    </row>
    <row r="5" spans="1:23" ht="15.75" x14ac:dyDescent="0.2">
      <c r="M5" s="26"/>
      <c r="N5" s="20" t="s">
        <v>81</v>
      </c>
      <c r="O5" s="20" t="s">
        <v>29</v>
      </c>
      <c r="P5" s="20" t="s">
        <v>29</v>
      </c>
      <c r="Q5" s="20" t="s">
        <v>29</v>
      </c>
      <c r="R5" s="20" t="s">
        <v>29</v>
      </c>
      <c r="T5" s="1" t="s">
        <v>57</v>
      </c>
    </row>
    <row r="6" spans="1:23" x14ac:dyDescent="0.2">
      <c r="A6" s="41" t="s">
        <v>0</v>
      </c>
      <c r="B6" s="41"/>
      <c r="C6" s="41"/>
      <c r="D6" s="41"/>
      <c r="E6" s="41"/>
      <c r="F6" s="41"/>
      <c r="G6" s="41"/>
      <c r="H6" s="41"/>
      <c r="M6" s="18" t="s">
        <v>45</v>
      </c>
      <c r="N6" s="17">
        <v>23.8</v>
      </c>
      <c r="O6" s="17">
        <v>1.125</v>
      </c>
      <c r="P6" s="17">
        <v>4.83</v>
      </c>
      <c r="Q6" s="17">
        <v>1.43</v>
      </c>
      <c r="R6" s="17">
        <v>1.4</v>
      </c>
      <c r="U6" s="1" t="s">
        <v>56</v>
      </c>
    </row>
    <row r="7" spans="1:23" x14ac:dyDescent="0.2">
      <c r="A7" s="41" t="s">
        <v>75</v>
      </c>
      <c r="B7" s="41"/>
      <c r="C7" s="41"/>
      <c r="D7" s="41"/>
      <c r="E7" s="41"/>
      <c r="F7" s="41"/>
      <c r="G7" s="41"/>
      <c r="H7" s="41"/>
      <c r="M7" s="19" t="s">
        <v>47</v>
      </c>
      <c r="N7" s="17">
        <v>27.8</v>
      </c>
      <c r="O7" s="17">
        <v>1</v>
      </c>
      <c r="P7" s="17">
        <v>5.61</v>
      </c>
      <c r="Q7" s="17">
        <v>1.665</v>
      </c>
      <c r="R7" s="17">
        <v>1.625</v>
      </c>
      <c r="T7" s="1" t="s">
        <v>68</v>
      </c>
    </row>
    <row r="8" spans="1:23" x14ac:dyDescent="0.2">
      <c r="A8" s="2"/>
      <c r="B8" s="2"/>
      <c r="C8" s="2"/>
      <c r="D8" s="2"/>
      <c r="E8" s="2"/>
      <c r="F8" s="2"/>
      <c r="G8" s="2"/>
      <c r="H8" s="2"/>
      <c r="M8" s="19" t="s">
        <v>49</v>
      </c>
      <c r="N8" s="17">
        <v>27.8</v>
      </c>
      <c r="O8" s="17">
        <v>1</v>
      </c>
      <c r="P8" s="17">
        <v>5.61</v>
      </c>
      <c r="Q8" s="17">
        <v>1.665</v>
      </c>
      <c r="R8" s="17">
        <v>1.625</v>
      </c>
    </row>
    <row r="9" spans="1:23" x14ac:dyDescent="0.2">
      <c r="A9" s="5" t="s">
        <v>1</v>
      </c>
      <c r="M9" s="19" t="s">
        <v>51</v>
      </c>
      <c r="N9" s="17">
        <v>41.1</v>
      </c>
      <c r="O9" s="17">
        <v>1.5</v>
      </c>
      <c r="P9" s="17">
        <v>5.61</v>
      </c>
      <c r="Q9" s="17">
        <v>1.625</v>
      </c>
      <c r="R9" s="17">
        <v>2</v>
      </c>
      <c r="T9" s="1">
        <v>5</v>
      </c>
      <c r="U9" s="1">
        <v>60</v>
      </c>
      <c r="V9" s="27">
        <f>(PI()/4)*1.625*(U9-2*1.635)+4.4</f>
        <v>76.802911440498022</v>
      </c>
      <c r="W9" s="27">
        <f>V9+N7</f>
        <v>104.60291144049802</v>
      </c>
    </row>
    <row r="10" spans="1:23" ht="44.25" customHeight="1" x14ac:dyDescent="0.2">
      <c r="A10" s="44" t="s">
        <v>89</v>
      </c>
      <c r="B10" s="44"/>
      <c r="C10" s="44"/>
      <c r="D10" s="44"/>
      <c r="E10" s="44"/>
      <c r="F10" s="44"/>
      <c r="G10" s="44"/>
      <c r="H10" s="44"/>
      <c r="M10" s="19" t="s">
        <v>53</v>
      </c>
      <c r="N10" s="17">
        <v>41.1</v>
      </c>
      <c r="O10" s="17">
        <v>1.5</v>
      </c>
      <c r="P10" s="17">
        <v>5.61</v>
      </c>
      <c r="Q10" s="17">
        <v>1.625</v>
      </c>
      <c r="R10" s="17">
        <v>2</v>
      </c>
      <c r="T10" s="1">
        <v>3</v>
      </c>
      <c r="U10" s="1">
        <v>36</v>
      </c>
    </row>
    <row r="11" spans="1:23" x14ac:dyDescent="0.2">
      <c r="M11" s="19" t="s">
        <v>54</v>
      </c>
      <c r="N11" s="17">
        <v>75.099999999999994</v>
      </c>
      <c r="O11" s="17">
        <v>2</v>
      </c>
      <c r="P11" s="17">
        <v>5.61</v>
      </c>
      <c r="Q11" s="17">
        <v>1.625</v>
      </c>
      <c r="R11" s="17">
        <v>2.5</v>
      </c>
      <c r="T11" s="1">
        <v>2</v>
      </c>
      <c r="U11" s="1">
        <v>24</v>
      </c>
    </row>
    <row r="12" spans="1:23" x14ac:dyDescent="0.2">
      <c r="A12" s="5" t="s">
        <v>76</v>
      </c>
      <c r="E12" s="3"/>
      <c r="M12" s="19"/>
      <c r="N12" s="17"/>
      <c r="O12" s="17"/>
      <c r="P12" s="17"/>
      <c r="Q12" s="17"/>
      <c r="R12" s="17"/>
    </row>
    <row r="13" spans="1:23" x14ac:dyDescent="0.2">
      <c r="A13" s="43"/>
      <c r="B13" s="43"/>
      <c r="C13" s="43"/>
      <c r="D13" s="43"/>
      <c r="E13" s="43"/>
      <c r="F13" s="43"/>
      <c r="G13" s="43"/>
      <c r="H13" s="43"/>
      <c r="I13" s="29"/>
      <c r="M13" s="21" t="s">
        <v>66</v>
      </c>
      <c r="N13" s="28">
        <f>VLOOKUP(E18,M6:N11,2,TRUE)</f>
        <v>23.8</v>
      </c>
      <c r="O13" s="28">
        <f>VLOOKUP(E18,M6:O11,3,TRUE)</f>
        <v>1.125</v>
      </c>
      <c r="P13" s="28">
        <f>VLOOKUP(E18,M6:P11,4,TRUE)</f>
        <v>4.83</v>
      </c>
      <c r="Q13" s="28">
        <f>VLOOKUP(E18,M6:Q11,5,TRUE)</f>
        <v>1.43</v>
      </c>
      <c r="R13" s="28">
        <f>VLOOKUP(E18,M6:R11,6,TRUE)</f>
        <v>1.4</v>
      </c>
    </row>
    <row r="14" spans="1:23" x14ac:dyDescent="0.2">
      <c r="A14" s="43"/>
      <c r="B14" s="43"/>
      <c r="C14" s="43"/>
      <c r="D14" s="43"/>
      <c r="E14" s="43"/>
      <c r="F14" s="43"/>
      <c r="G14" s="43"/>
      <c r="H14" s="43"/>
      <c r="I14" s="29"/>
    </row>
    <row r="16" spans="1:23" x14ac:dyDescent="0.2">
      <c r="D16" s="5" t="s">
        <v>3</v>
      </c>
    </row>
    <row r="17" spans="2:21" x14ac:dyDescent="0.2">
      <c r="D17" s="5"/>
    </row>
    <row r="18" spans="2:21" x14ac:dyDescent="0.2">
      <c r="D18" s="6" t="s">
        <v>42</v>
      </c>
      <c r="E18" s="22" t="s">
        <v>45</v>
      </c>
    </row>
    <row r="19" spans="2:21" x14ac:dyDescent="0.2">
      <c r="D19" s="6" t="s">
        <v>58</v>
      </c>
      <c r="E19" s="22">
        <v>5</v>
      </c>
      <c r="F19" s="1" t="s">
        <v>65</v>
      </c>
    </row>
    <row r="20" spans="2:21" x14ac:dyDescent="0.2">
      <c r="D20" s="6" t="s">
        <v>59</v>
      </c>
      <c r="E20" s="22">
        <v>0</v>
      </c>
    </row>
    <row r="21" spans="2:21" x14ac:dyDescent="0.2">
      <c r="D21" s="6"/>
    </row>
    <row r="22" spans="2:21" x14ac:dyDescent="0.2">
      <c r="D22" s="5" t="s">
        <v>14</v>
      </c>
      <c r="M22" s="1" t="s">
        <v>54</v>
      </c>
      <c r="R22" s="1" t="s">
        <v>53</v>
      </c>
    </row>
    <row r="23" spans="2:21" x14ac:dyDescent="0.2">
      <c r="N23" s="3" t="s">
        <v>70</v>
      </c>
      <c r="O23" s="3" t="s">
        <v>56</v>
      </c>
      <c r="R23" s="1"/>
      <c r="S23" s="3"/>
      <c r="T23" s="3"/>
      <c r="U23" s="3"/>
    </row>
    <row r="24" spans="2:21" ht="15.75" x14ac:dyDescent="0.2">
      <c r="D24" s="6" t="s">
        <v>60</v>
      </c>
      <c r="E24" s="30">
        <f>N13+E20*((PI()/4)*R13*((E19*12)-2*Q13)+(PI()/4)*O13*P13)</f>
        <v>23.8</v>
      </c>
      <c r="F24" s="1" t="s">
        <v>82</v>
      </c>
      <c r="M24" s="1" t="s">
        <v>69</v>
      </c>
      <c r="N24" s="3">
        <v>2</v>
      </c>
      <c r="O24" s="3">
        <v>5.61</v>
      </c>
      <c r="P24" s="3">
        <f>(PI()*N24^2*O24)/4</f>
        <v>17.624334786638741</v>
      </c>
      <c r="R24" s="1" t="s">
        <v>69</v>
      </c>
      <c r="S24" s="3" t="s">
        <v>70</v>
      </c>
      <c r="T24" s="3" t="s">
        <v>56</v>
      </c>
      <c r="U24" s="3"/>
    </row>
    <row r="25" spans="2:21" ht="15.75" x14ac:dyDescent="0.2">
      <c r="D25" s="6" t="s">
        <v>60</v>
      </c>
      <c r="E25" s="31">
        <f>E24*0.0005787</f>
        <v>1.377306E-2</v>
      </c>
      <c r="F25" s="1" t="s">
        <v>83</v>
      </c>
      <c r="M25" s="1" t="s">
        <v>71</v>
      </c>
      <c r="N25" s="3">
        <v>1.7649999999999999</v>
      </c>
      <c r="O25" s="3">
        <v>5</v>
      </c>
      <c r="P25" s="3">
        <f>(PI()*N25^2*O25)/4</f>
        <v>12.233459967849079</v>
      </c>
      <c r="R25" s="1" t="s">
        <v>71</v>
      </c>
      <c r="S25" s="3">
        <v>1.5</v>
      </c>
      <c r="T25" s="3">
        <v>5.61</v>
      </c>
      <c r="U25" s="3">
        <f>(PI()*S25^2*T25)/4</f>
        <v>9.9136883174842918</v>
      </c>
    </row>
    <row r="26" spans="2:21" ht="15.75" x14ac:dyDescent="0.2">
      <c r="D26" s="6" t="s">
        <v>60</v>
      </c>
      <c r="E26" s="32">
        <f>E24*16.387</f>
        <v>390.01060000000001</v>
      </c>
      <c r="F26" s="1" t="s">
        <v>84</v>
      </c>
      <c r="M26" s="1" t="s">
        <v>72</v>
      </c>
      <c r="N26" s="3">
        <v>1.875</v>
      </c>
      <c r="O26" s="3">
        <v>10</v>
      </c>
      <c r="P26" s="3">
        <f>(PI()*N26^2*O26)/4</f>
        <v>27.611654181941539</v>
      </c>
      <c r="R26" s="1" t="s">
        <v>72</v>
      </c>
      <c r="S26" s="3">
        <v>1.2649999999999999</v>
      </c>
      <c r="T26" s="3">
        <v>5</v>
      </c>
      <c r="U26" s="3">
        <f>(PI()*S26^2*T26)/4</f>
        <v>6.2840688801134075</v>
      </c>
    </row>
    <row r="27" spans="2:21" x14ac:dyDescent="0.2">
      <c r="O27" s="3" t="s">
        <v>73</v>
      </c>
      <c r="P27" s="3">
        <f>2*P24+P25+P26</f>
        <v>75.0937837230681</v>
      </c>
      <c r="R27" s="1"/>
      <c r="S27" s="3">
        <v>1.38</v>
      </c>
      <c r="T27" s="3">
        <v>10</v>
      </c>
      <c r="U27" s="3">
        <f>(PI()*S27^2*T27)/4</f>
        <v>14.957122623741002</v>
      </c>
    </row>
    <row r="28" spans="2:21" x14ac:dyDescent="0.2">
      <c r="D28" s="5" t="s">
        <v>88</v>
      </c>
      <c r="S28" s="3"/>
      <c r="T28" s="3" t="s">
        <v>73</v>
      </c>
      <c r="U28" s="3">
        <f>2*U25+U26+U27</f>
        <v>41.06856813882299</v>
      </c>
    </row>
    <row r="29" spans="2:21" x14ac:dyDescent="0.2">
      <c r="I29" s="29"/>
    </row>
    <row r="30" spans="2:21" ht="15" customHeight="1" x14ac:dyDescent="0.2">
      <c r="B30" s="52" t="s">
        <v>86</v>
      </c>
      <c r="C30" s="52"/>
      <c r="D30" s="37" t="s">
        <v>85</v>
      </c>
      <c r="E30" s="52" t="s">
        <v>87</v>
      </c>
      <c r="F30" s="52"/>
      <c r="M30" s="1" t="s">
        <v>51</v>
      </c>
      <c r="R30" s="1" t="s">
        <v>49</v>
      </c>
    </row>
    <row r="31" spans="2:21" ht="15" customHeight="1" x14ac:dyDescent="0.2">
      <c r="B31" s="52" t="s">
        <v>82</v>
      </c>
      <c r="C31" s="52"/>
      <c r="D31" s="34">
        <f>E24*0.3</f>
        <v>7.14</v>
      </c>
      <c r="E31" s="53">
        <f>E24*0.5</f>
        <v>11.9</v>
      </c>
      <c r="F31" s="53"/>
      <c r="N31" s="3" t="s">
        <v>70</v>
      </c>
      <c r="O31" s="3" t="s">
        <v>56</v>
      </c>
      <c r="R31" s="1"/>
      <c r="S31" s="3"/>
      <c r="T31" s="3"/>
      <c r="U31" s="3"/>
    </row>
    <row r="32" spans="2:21" ht="15" customHeight="1" x14ac:dyDescent="0.2">
      <c r="B32" s="52" t="s">
        <v>83</v>
      </c>
      <c r="C32" s="52"/>
      <c r="D32" s="33">
        <f>E25*0.3</f>
        <v>4.131918E-3</v>
      </c>
      <c r="E32" s="54">
        <f>E25*0.5</f>
        <v>6.8865300000000001E-3</v>
      </c>
      <c r="F32" s="54"/>
      <c r="M32" s="1" t="s">
        <v>69</v>
      </c>
      <c r="N32" s="3">
        <v>1.5</v>
      </c>
      <c r="O32" s="3">
        <v>5.61</v>
      </c>
      <c r="P32" s="3">
        <f>(PI()*N32^2*O32)/4</f>
        <v>9.9136883174842918</v>
      </c>
      <c r="R32" s="1" t="s">
        <v>69</v>
      </c>
      <c r="S32" s="3" t="s">
        <v>70</v>
      </c>
      <c r="T32" s="3" t="s">
        <v>56</v>
      </c>
      <c r="U32" s="3"/>
    </row>
    <row r="33" spans="1:21" ht="15" customHeight="1" x14ac:dyDescent="0.2">
      <c r="B33" s="52" t="s">
        <v>84</v>
      </c>
      <c r="C33" s="52"/>
      <c r="D33" s="35">
        <f>E26*0.3</f>
        <v>117.00318</v>
      </c>
      <c r="E33" s="55">
        <f>E26*0.5</f>
        <v>195.00530000000001</v>
      </c>
      <c r="F33" s="55"/>
      <c r="M33" s="1" t="s">
        <v>71</v>
      </c>
      <c r="N33" s="3">
        <v>1.2649999999999999</v>
      </c>
      <c r="O33" s="3">
        <v>5</v>
      </c>
      <c r="P33" s="3">
        <f>(PI()*N33^2*O33)/4</f>
        <v>6.2840688801134075</v>
      </c>
      <c r="R33" s="1" t="s">
        <v>71</v>
      </c>
      <c r="S33" s="3">
        <v>1</v>
      </c>
      <c r="T33" s="3">
        <v>5.61</v>
      </c>
      <c r="U33" s="3">
        <f>(PI()*S33^2*T33)/4</f>
        <v>4.4060836966596852</v>
      </c>
    </row>
    <row r="34" spans="1:21" x14ac:dyDescent="0.2">
      <c r="M34" s="1" t="s">
        <v>72</v>
      </c>
      <c r="N34" s="3">
        <v>1.38</v>
      </c>
      <c r="O34" s="3">
        <v>10</v>
      </c>
      <c r="P34" s="3">
        <f>(PI()*N34^2*O34)/4</f>
        <v>14.957122623741002</v>
      </c>
      <c r="R34" s="1" t="s">
        <v>72</v>
      </c>
      <c r="S34" s="3">
        <v>0.875</v>
      </c>
      <c r="T34" s="3">
        <v>5</v>
      </c>
      <c r="U34" s="3">
        <f>(PI()*S34^2*T34)/4</f>
        <v>3.0066023442558567</v>
      </c>
    </row>
    <row r="35" spans="1:21" x14ac:dyDescent="0.2">
      <c r="A35" s="1" t="s">
        <v>77</v>
      </c>
      <c r="D35" s="6"/>
      <c r="E35" s="3"/>
      <c r="F35" s="3" t="s">
        <v>78</v>
      </c>
      <c r="R35" s="1" t="s">
        <v>74</v>
      </c>
      <c r="S35" s="3">
        <v>1.0049999999999999</v>
      </c>
      <c r="T35" s="3">
        <v>10</v>
      </c>
      <c r="U35" s="3">
        <f>(PI()*S35^2*T35)/4</f>
        <v>7.9327177998550749</v>
      </c>
    </row>
    <row r="36" spans="1:21" x14ac:dyDescent="0.2">
      <c r="A36" s="42"/>
      <c r="B36" s="42"/>
      <c r="C36" s="42"/>
      <c r="D36" s="42"/>
      <c r="E36" s="3"/>
      <c r="F36" s="43"/>
      <c r="G36" s="43"/>
      <c r="H36" s="43"/>
      <c r="O36" s="3" t="s">
        <v>73</v>
      </c>
      <c r="P36" s="3">
        <f>2*P32+P33+P34+P35</f>
        <v>41.06856813882299</v>
      </c>
      <c r="R36" s="1"/>
      <c r="S36" s="3">
        <v>1.4</v>
      </c>
      <c r="T36" s="3">
        <f>8.6-2*1.665</f>
        <v>5.27</v>
      </c>
      <c r="U36" s="3">
        <f>(PI()*S36^2*T36)/4</f>
        <v>8.1125347093649207</v>
      </c>
    </row>
    <row r="37" spans="1:21" x14ac:dyDescent="0.2">
      <c r="S37" s="3"/>
      <c r="T37" s="3" t="s">
        <v>73</v>
      </c>
      <c r="U37" s="3">
        <f>2*U33+U34+U35+U36</f>
        <v>27.864022246795223</v>
      </c>
    </row>
    <row r="38" spans="1:21" ht="15.75" x14ac:dyDescent="0.25">
      <c r="A38" s="14" t="s">
        <v>23</v>
      </c>
    </row>
    <row r="39" spans="1:21" x14ac:dyDescent="0.2">
      <c r="M39" s="1" t="s">
        <v>47</v>
      </c>
      <c r="R39" s="3" t="s">
        <v>45</v>
      </c>
    </row>
    <row r="40" spans="1:21" x14ac:dyDescent="0.2">
      <c r="A40" s="37" t="s">
        <v>42</v>
      </c>
      <c r="B40" s="37" t="s">
        <v>90</v>
      </c>
      <c r="C40" s="37"/>
      <c r="D40" s="36" t="s">
        <v>91</v>
      </c>
      <c r="E40" s="47" t="s">
        <v>92</v>
      </c>
      <c r="F40" s="48"/>
      <c r="G40" s="47" t="s">
        <v>93</v>
      </c>
      <c r="H40" s="48"/>
      <c r="N40" s="3" t="s">
        <v>70</v>
      </c>
      <c r="O40" s="3" t="s">
        <v>56</v>
      </c>
      <c r="R40" s="1"/>
    </row>
    <row r="41" spans="1:21" x14ac:dyDescent="0.2">
      <c r="A41" s="17" t="s">
        <v>45</v>
      </c>
      <c r="B41" s="45" t="s">
        <v>94</v>
      </c>
      <c r="C41" s="46"/>
      <c r="D41" s="17" t="s">
        <v>100</v>
      </c>
      <c r="E41" s="45" t="s">
        <v>101</v>
      </c>
      <c r="F41" s="46"/>
      <c r="G41" s="45" t="s">
        <v>102</v>
      </c>
      <c r="H41" s="46"/>
      <c r="M41" s="1" t="s">
        <v>69</v>
      </c>
      <c r="N41" s="3">
        <v>1</v>
      </c>
      <c r="O41" s="3">
        <v>5.61</v>
      </c>
      <c r="P41" s="3">
        <f>(PI()*N41^2*O41)/4</f>
        <v>4.4060836966596852</v>
      </c>
      <c r="R41" s="1" t="s">
        <v>69</v>
      </c>
      <c r="S41" s="3" t="s">
        <v>70</v>
      </c>
      <c r="T41" s="3" t="s">
        <v>56</v>
      </c>
      <c r="U41" s="3"/>
    </row>
    <row r="42" spans="1:21" x14ac:dyDescent="0.2">
      <c r="A42" s="17" t="s">
        <v>47</v>
      </c>
      <c r="B42" s="45" t="s">
        <v>95</v>
      </c>
      <c r="C42" s="46"/>
      <c r="D42" s="17" t="s">
        <v>103</v>
      </c>
      <c r="E42" s="45" t="s">
        <v>104</v>
      </c>
      <c r="F42" s="46"/>
      <c r="G42" s="45" t="s">
        <v>105</v>
      </c>
      <c r="H42" s="46"/>
      <c r="M42" s="1" t="s">
        <v>71</v>
      </c>
      <c r="N42" s="3">
        <v>0.875</v>
      </c>
      <c r="O42" s="3">
        <v>5</v>
      </c>
      <c r="P42" s="3">
        <f>(PI()*N42^2*O42)/4</f>
        <v>3.0066023442558567</v>
      </c>
      <c r="R42" s="1" t="s">
        <v>71</v>
      </c>
      <c r="S42" s="3">
        <v>1.125</v>
      </c>
      <c r="T42" s="3">
        <v>4.83</v>
      </c>
      <c r="U42" s="3">
        <f>(PI()*S42^2*T42)/4</f>
        <v>4.8011144291559953</v>
      </c>
    </row>
    <row r="43" spans="1:21" x14ac:dyDescent="0.2">
      <c r="A43" s="17" t="s">
        <v>49</v>
      </c>
      <c r="B43" s="45" t="s">
        <v>96</v>
      </c>
      <c r="C43" s="46"/>
      <c r="D43" s="17" t="s">
        <v>106</v>
      </c>
      <c r="E43" s="45" t="s">
        <v>110</v>
      </c>
      <c r="F43" s="46"/>
      <c r="G43" s="45" t="s">
        <v>114</v>
      </c>
      <c r="H43" s="46"/>
      <c r="M43" s="1" t="s">
        <v>72</v>
      </c>
      <c r="N43" s="3">
        <v>1.0049999999999999</v>
      </c>
      <c r="O43" s="3">
        <v>10</v>
      </c>
      <c r="P43" s="3">
        <f>(PI()*N43^2*O43)/4</f>
        <v>7.9327177998550749</v>
      </c>
      <c r="R43" s="1" t="s">
        <v>74</v>
      </c>
      <c r="S43" s="3">
        <v>0.75</v>
      </c>
      <c r="T43" s="3">
        <v>5</v>
      </c>
      <c r="U43" s="3">
        <f>(PI()*S43^2*T43)/4</f>
        <v>2.2089323345553233</v>
      </c>
    </row>
    <row r="44" spans="1:21" x14ac:dyDescent="0.2">
      <c r="A44" s="17" t="s">
        <v>51</v>
      </c>
      <c r="B44" s="45" t="s">
        <v>97</v>
      </c>
      <c r="C44" s="46"/>
      <c r="D44" s="17" t="s">
        <v>107</v>
      </c>
      <c r="E44" s="45" t="s">
        <v>111</v>
      </c>
      <c r="F44" s="46"/>
      <c r="G44" s="45" t="s">
        <v>115</v>
      </c>
      <c r="H44" s="46"/>
      <c r="M44" s="1" t="s">
        <v>74</v>
      </c>
      <c r="N44" s="3">
        <v>1.4</v>
      </c>
      <c r="O44" s="3">
        <f>8.6-2*1.665</f>
        <v>5.27</v>
      </c>
      <c r="P44" s="3">
        <f>(PI()*N44^2*O44)/4</f>
        <v>8.1125347093649207</v>
      </c>
      <c r="R44" s="1" t="s">
        <v>72</v>
      </c>
      <c r="S44" s="3">
        <v>1.4</v>
      </c>
      <c r="T44" s="3">
        <f>8.5-2*1.43</f>
        <v>5.6400000000000006</v>
      </c>
      <c r="U44" s="3">
        <f>(PI()*S44^2*T44)/4</f>
        <v>8.6821054574607519</v>
      </c>
    </row>
    <row r="45" spans="1:21" x14ac:dyDescent="0.2">
      <c r="A45" s="17" t="s">
        <v>53</v>
      </c>
      <c r="B45" s="45" t="s">
        <v>98</v>
      </c>
      <c r="C45" s="46"/>
      <c r="D45" s="17" t="s">
        <v>108</v>
      </c>
      <c r="E45" s="45" t="s">
        <v>112</v>
      </c>
      <c r="F45" s="46"/>
      <c r="G45" s="45" t="s">
        <v>116</v>
      </c>
      <c r="H45" s="46"/>
      <c r="O45" s="3" t="s">
        <v>73</v>
      </c>
      <c r="P45" s="3">
        <f>2*P41+P42+P43+P44</f>
        <v>27.864022246795223</v>
      </c>
      <c r="R45" s="1"/>
      <c r="S45" s="3">
        <v>0.75</v>
      </c>
      <c r="T45" s="3">
        <v>7.5</v>
      </c>
      <c r="U45" s="3">
        <f>(PI()*S45^2*T45)/4</f>
        <v>3.3133985018329848</v>
      </c>
    </row>
    <row r="46" spans="1:21" x14ac:dyDescent="0.2">
      <c r="A46" s="17" t="s">
        <v>54</v>
      </c>
      <c r="B46" s="45" t="s">
        <v>99</v>
      </c>
      <c r="C46" s="46"/>
      <c r="D46" s="17" t="s">
        <v>109</v>
      </c>
      <c r="E46" s="45" t="s">
        <v>113</v>
      </c>
      <c r="F46" s="46"/>
      <c r="G46" s="45" t="s">
        <v>117</v>
      </c>
      <c r="H46" s="46"/>
      <c r="S46" s="3"/>
      <c r="T46" s="3" t="s">
        <v>73</v>
      </c>
      <c r="U46" s="3">
        <f>2*U42+U43+U45+U44</f>
        <v>23.806665152161052</v>
      </c>
    </row>
  </sheetData>
  <sheetProtection algorithmName="SHA-512" hashValue="dmR1oO1Rx0ljo44Txqh8zIcUqq7g8gcZf8Qx9/d3n/N+/0rMHIQjA7t9BmaML4lTxV6fuV6WwaixuABTahJHnQ==" saltValue="87oAJz0CxvakV8VFtSWZ/Q==" spinCount="100000" sheet="1" objects="1" scenarios="1"/>
  <mergeCells count="35">
    <mergeCell ref="A10:H10"/>
    <mergeCell ref="A13:H14"/>
    <mergeCell ref="A36:D36"/>
    <mergeCell ref="F36:H36"/>
    <mergeCell ref="M3:R3"/>
    <mergeCell ref="A7:H7"/>
    <mergeCell ref="A6:H6"/>
    <mergeCell ref="E30:F30"/>
    <mergeCell ref="E31:F31"/>
    <mergeCell ref="E32:F32"/>
    <mergeCell ref="E33:F33"/>
    <mergeCell ref="B30:C30"/>
    <mergeCell ref="B31:C31"/>
    <mergeCell ref="B32:C32"/>
    <mergeCell ref="B33:C33"/>
    <mergeCell ref="G40:H40"/>
    <mergeCell ref="E40:F40"/>
    <mergeCell ref="E41:F41"/>
    <mergeCell ref="G41:H41"/>
    <mergeCell ref="E42:F42"/>
    <mergeCell ref="G42:H42"/>
    <mergeCell ref="G43:H43"/>
    <mergeCell ref="G44:H44"/>
    <mergeCell ref="G45:H45"/>
    <mergeCell ref="G46:H46"/>
    <mergeCell ref="E43:F43"/>
    <mergeCell ref="E44:F44"/>
    <mergeCell ref="E45:F45"/>
    <mergeCell ref="E46:F46"/>
    <mergeCell ref="B46:C46"/>
    <mergeCell ref="B41:C41"/>
    <mergeCell ref="B42:C42"/>
    <mergeCell ref="B43:C43"/>
    <mergeCell ref="B44:C44"/>
    <mergeCell ref="B45:C45"/>
  </mergeCells>
  <dataValidations count="2">
    <dataValidation type="list" allowBlank="1" showInputMessage="1" showErrorMessage="1" sqref="E19" xr:uid="{135AA2AD-0953-4B01-AF46-16486813821C}">
      <formula1>$T$9:$T$11</formula1>
    </dataValidation>
    <dataValidation type="list" allowBlank="1" showInputMessage="1" showErrorMessage="1" sqref="E18" xr:uid="{C72ECFDC-6A73-40BE-ACEF-B373571CF528}">
      <formula1>$M$6:$M$11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m q s W s v e 3 T G l A A A A 9 Q A A A B I A H A B D b 2 5 m a W c v U G F j a 2 F n Z S 5 4 b W w g o h g A K K A U A A A A A A A A A A A A A A A A A A A A A A A A A A A A h Y 9 B D o I w F E S v Q r q n L R C j I Z + S 6 M K N J C Y m x m 1 T K j T C x 9 A i 3 M 2 F R / I K Y h R 1 5 3 L e v M X M / X q D d K g r 7 6 J b a x p M S E A 5 8 T S q J j d Y J K R z R 3 9 B U g F b q U 6 y 0 N 4 o o 4 0 H m y e k d O 4 c M 9 b 3 P e 0 j 2 r Q F C z k P 2 C H b 7 F S p a 0 k + s v k v + w a t k 6 g 0 E b B / j R E h D a K I z u a U A 5 s Y Z A a / f T j O f b Y / E F Z d 5 b p W C 4 3 + e g l s i s D e F 8 Q D U E s D B B Q A A g A I A D p q r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a q x a K I p H u A 4 A A A A R A A A A E w A c A E Z v c m 1 1 b G F z L 1 N l Y 3 R p b 2 4 x L m 0 g o h g A K K A U A A A A A A A A A A A A A A A A A A A A A A A A A A A A K 0 5 N L s n M z 1 M I h t C G 1 g B Q S w E C L Q A U A A I A C A A 6 a q x a y 9 7 d M a U A A A D 1 A A A A E g A A A A A A A A A A A A A A A A A A A A A A Q 2 9 u Z m l n L 1 B h Y 2 t h Z 2 U u e G 1 s U E s B A i 0 A F A A C A A g A O m q s W g / K 6 a u k A A A A 6 Q A A A B M A A A A A A A A A A A A A A A A A 8 Q A A A F t D b 2 5 0 Z W 5 0 X 1 R 5 c G V z X S 5 4 b W x Q S w E C L Q A U A A I A C A A 6 a q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b i 9 s N k o r E G L A 3 z A x l M r W w A A A A A C A A A A A A A Q Z g A A A A E A A C A A A A B c X R o g v 9 R H / m A R A a c P o h D P z O i P O a / r Z L o A w W d 6 o r e l / Q A A A A A O g A A A A A I A A C A A A A B D L W L U F M r C U O b J L I e 6 u y j B e m 4 J c i 9 t c 4 4 O t 6 D 7 q i F I c 1 A A A A C s A A M 1 E t h o t A T g b B 2 Y k 4 i o y Z L B Y U u p 1 W 7 6 1 X c h f y j L L 2 4 9 E 7 P e G z q L g 2 g i 1 x d 2 N N I n 6 e 0 A 7 C c R 3 m G G B F 1 r L y E m v x 5 Z M V j c B 1 p 0 a N w 0 6 R u B D 0 A A A A A 6 P X a b K 5 v M G q v q v Q 3 L r L R l 9 Q L d x s 7 9 6 0 E m Q p n U B 5 e q F i O 4 R X K W p 1 a U P v 6 g O R W Z K j a l + p T G N U W p 1 J f z Z Y 5 8 6 5 8 U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42301-e6ef-46b1-8741-a7036094e844">
      <Terms xmlns="http://schemas.microsoft.com/office/infopath/2007/PartnerControls"/>
    </lcf76f155ced4ddcb4097134ff3c332f>
    <TaxCatchAll xmlns="44267c8f-8b69-4682-8881-45d652ff7f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B98F43B41034FAF3804FE34ACC42C" ma:contentTypeVersion="19" ma:contentTypeDescription="Create a new document." ma:contentTypeScope="" ma:versionID="757279c1c645e6b7f4d99bd2acad4fb6">
  <xsd:schema xmlns:xsd="http://www.w3.org/2001/XMLSchema" xmlns:xs="http://www.w3.org/2001/XMLSchema" xmlns:p="http://schemas.microsoft.com/office/2006/metadata/properties" xmlns:ns2="44267c8f-8b69-4682-8881-45d652ff7f96" xmlns:ns3="ebb42301-e6ef-46b1-8741-a7036094e844" targetNamespace="http://schemas.microsoft.com/office/2006/metadata/properties" ma:root="true" ma:fieldsID="356a9eca59de758fe6802a5d8bba90c8" ns2:_="" ns3:_="">
    <xsd:import namespace="44267c8f-8b69-4682-8881-45d652ff7f96"/>
    <xsd:import namespace="ebb42301-e6ef-46b1-8741-a7036094e8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67c8f-8b69-4682-8881-45d652ff7f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00b5f1d-53fb-4c92-8cfb-1fea53b9c439}" ma:internalName="TaxCatchAll" ma:showField="CatchAllData" ma:web="44267c8f-8b69-4682-8881-45d652ff7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42301-e6ef-46b1-8741-a7036094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4aae3b-cd06-4808-a3c3-73f9f73bf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D0D41-552A-4D26-9D13-78E532CC959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8A55E5B-0472-4EE3-A544-6C1E8494FB01}">
  <ds:schemaRefs>
    <ds:schemaRef ds:uri="http://schemas.microsoft.com/office/2006/metadata/properties"/>
    <ds:schemaRef ds:uri="http://schemas.microsoft.com/office/infopath/2007/PartnerControls"/>
    <ds:schemaRef ds:uri="ebb42301-e6ef-46b1-8741-a7036094e844"/>
    <ds:schemaRef ds:uri="44267c8f-8b69-4682-8881-45d652ff7f96"/>
  </ds:schemaRefs>
</ds:datastoreItem>
</file>

<file path=customXml/itemProps3.xml><?xml version="1.0" encoding="utf-8"?>
<ds:datastoreItem xmlns:ds="http://schemas.openxmlformats.org/officeDocument/2006/customXml" ds:itemID="{9E5FFC45-4100-47EA-93E1-01C5AAB5084B}"/>
</file>

<file path=customXml/itemProps4.xml><?xml version="1.0" encoding="utf-8"?>
<ds:datastoreItem xmlns:ds="http://schemas.openxmlformats.org/officeDocument/2006/customXml" ds:itemID="{2FC20C6A-565A-41DD-96C1-8DC5B60FF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Pressure Drop Calculator</vt:lpstr>
      <vt:lpstr>Wash Pipe Volume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Harcourt</dc:creator>
  <cp:keywords/>
  <dc:description/>
  <cp:lastModifiedBy>Charles Harcourt</cp:lastModifiedBy>
  <cp:revision/>
  <cp:lastPrinted>2025-07-22T10:06:33Z</cp:lastPrinted>
  <dcterms:created xsi:type="dcterms:W3CDTF">2025-05-07T14:26:38Z</dcterms:created>
  <dcterms:modified xsi:type="dcterms:W3CDTF">2026-01-12T11:11:59Z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0x0101001B4B98F43B41034FAF3804FE34ACC42C</vt:lpwstr>
  </property>
  <property fmtid="{D5CDD505-2E9C-101B-9397-08002B2CF9AE}" pid="3" name="MediaServiceImageTags">
    <vt:lpwstr/>
  </property>
</Properties>
</file>